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sulov\Desktop\2 чорак ҳис\2 масала харид\"/>
    </mc:Choice>
  </mc:AlternateContent>
  <xr:revisionPtr revIDLastSave="0" documentId="13_ncr:1_{B5C45776-40D8-4E5E-BCD1-9ED83914832A}" xr6:coauthVersionLast="47" xr6:coauthVersionMax="47" xr10:uidLastSave="{00000000-0000-0000-0000-000000000000}"/>
  <bookViews>
    <workbookView xWindow="-120" yWindow="-120" windowWidth="29040" windowHeight="15840" tabRatio="890" activeTab="8" xr2:uid="{00000000-000D-0000-FFFF-FFFF00000000}"/>
  </bookViews>
  <sheets>
    <sheet name="Общий свод" sheetId="1" r:id="rId1"/>
    <sheet name="Объедененный перечень" sheetId="2" r:id="rId2"/>
    <sheet name="Энергетика" sheetId="3" r:id="rId3"/>
    <sheet name="Транспорт" sheetId="4" r:id="rId4"/>
    <sheet name="ГСМ" sheetId="5" r:id="rId5"/>
    <sheet name="ММ ва ТХ" sheetId="7" r:id="rId6"/>
    <sheet name="Горный отд." sheetId="8" r:id="rId7"/>
    <sheet name="Геология" sheetId="9" r:id="rId8"/>
    <sheet name="Геофизика" sheetId="10" r:id="rId9"/>
    <sheet name="ПТО" sheetId="11" r:id="rId10"/>
    <sheet name="Механика" sheetId="12" r:id="rId11"/>
    <sheet name="Металлопрокат" sheetId="13" r:id="rId12"/>
    <sheet name="Оргтехника" sheetId="14" r:id="rId13"/>
    <sheet name="Буровые инструменты ССК" sheetId="15" r:id="rId14"/>
    <sheet name="Канцтовары" sheetId="16" r:id="rId15"/>
    <sheet name="Канцтовары 1" sheetId="20" r:id="rId16"/>
    <sheet name="31-Приказ" sheetId="17" r:id="rId17"/>
  </sheets>
  <definedNames>
    <definedName name="_xlnm._FilterDatabase" localSheetId="7" hidden="1">Геология!$A$1:$J$188</definedName>
    <definedName name="_xlnm._FilterDatabase" localSheetId="15" hidden="1">'Канцтовары 1'!$A$1:$AG$165</definedName>
    <definedName name="_xlnm._FilterDatabase" localSheetId="10" hidden="1">Механика!$A$1:$J$564</definedName>
    <definedName name="_xlnm._FilterDatabase" localSheetId="5" hidden="1">'ММ ва ТХ'!$A$1:$J$71</definedName>
    <definedName name="_xlnm._FilterDatabase" localSheetId="1" hidden="1">'Объедененный перечень'!$A$7:$J$1394</definedName>
    <definedName name="Z_750F99BE_5C19_4848_A09A_0E4FD0F9F8FC_.wvu.Cols" localSheetId="6" hidden="1">'Горный отд.'!$F:$F</definedName>
    <definedName name="Z_750F99BE_5C19_4848_A09A_0E4FD0F9F8FC_.wvu.Cols" localSheetId="11" hidden="1">Металлопрокат!$F:$F</definedName>
    <definedName name="Z_750F99BE_5C19_4848_A09A_0E4FD0F9F8FC_.wvu.Cols" localSheetId="5" hidden="1">'ММ ва ТХ'!$E:$E</definedName>
    <definedName name="Z_750F99BE_5C19_4848_A09A_0E4FD0F9F8FC_.wvu.Cols" localSheetId="12" hidden="1">Оргтехника!$K:$W</definedName>
    <definedName name="Z_750F99BE_5C19_4848_A09A_0E4FD0F9F8FC_.wvu.Cols" localSheetId="2" hidden="1">Энергетика!$N:$AC</definedName>
    <definedName name="Z_750F99BE_5C19_4848_A09A_0E4FD0F9F8FC_.wvu.FilterData" localSheetId="7" hidden="1">Геология!$A$1:$J$188</definedName>
    <definedName name="Z_750F99BE_5C19_4848_A09A_0E4FD0F9F8FC_.wvu.FilterData" localSheetId="10" hidden="1">Механика!$A$1:$J$564</definedName>
    <definedName name="Z_750F99BE_5C19_4848_A09A_0E4FD0F9F8FC_.wvu.FilterData" localSheetId="5" hidden="1">'ММ ва ТХ'!$A$1:$J$71</definedName>
    <definedName name="Z_750F99BE_5C19_4848_A09A_0E4FD0F9F8FC_.wvu.FilterData" localSheetId="1" hidden="1">'Объедененный перечень'!$A$7:$J$1394</definedName>
    <definedName name="Z_750F99BE_5C19_4848_A09A_0E4FD0F9F8FC_.wvu.Rows" localSheetId="7" hidden="1">Геология!$182:$188</definedName>
    <definedName name="Z_750F99BE_5C19_4848_A09A_0E4FD0F9F8FC_.wvu.Rows" localSheetId="8" hidden="1">Геофизика!#REF!,Геофизика!$4:$7,Геофизика!$9:$28,Геофизика!$29:$41,Геофизика!$43:$48</definedName>
    <definedName name="Z_750F99BE_5C19_4848_A09A_0E4FD0F9F8FC_.wvu.Rows" localSheetId="6" hidden="1">'Горный отд.'!$4:$42,'Горный отд.'!$45:$47,'Горный отд.'!#REF!,'Горный отд.'!$54:$56,'Горный отд.'!$59:$64</definedName>
    <definedName name="Z_750F99BE_5C19_4848_A09A_0E4FD0F9F8FC_.wvu.Rows" localSheetId="0" hidden="1">'Общий свод'!$6:$28,'Общий свод'!$30:$33,'Общий свод'!$35:$38,'Общий свод'!$41:$45,'Общий свод'!$47:$50,'Общий свод'!$52:$54,'Общий свод'!$56:$60,'Общий свод'!$63:$71</definedName>
    <definedName name="Z_750F99BE_5C19_4848_A09A_0E4FD0F9F8FC_.wvu.Rows" localSheetId="1" hidden="1">'Объедененный перечень'!$1:$6</definedName>
    <definedName name="Z_750F99BE_5C19_4848_A09A_0E4FD0F9F8FC_.wvu.Rows" localSheetId="3" hidden="1">Транспорт!$4:$39,Транспорт!$42:$53,Транспорт!$56:$57,Транспорт!$60:$204</definedName>
    <definedName name="Z_750F99BE_5C19_4848_A09A_0E4FD0F9F8FC_.wvu.Rows" localSheetId="2" hidden="1">Энергетика!$4:$9,Энергетика!$30:$32,Энергетика!$34:$41,Энергетика!$77:$82,Энергетика!$85:$90,Энергетика!$134:$135</definedName>
    <definedName name="Z_93AFD236_396B_4FF3_AB41_05714D8754DB_.wvu.Cols" localSheetId="6" hidden="1">'Горный отд.'!$F:$F</definedName>
    <definedName name="Z_93AFD236_396B_4FF3_AB41_05714D8754DB_.wvu.Cols" localSheetId="11" hidden="1">Металлопрокат!$F:$F</definedName>
    <definedName name="Z_93AFD236_396B_4FF3_AB41_05714D8754DB_.wvu.Cols" localSheetId="5" hidden="1">'ММ ва ТХ'!$E:$E</definedName>
    <definedName name="Z_93AFD236_396B_4FF3_AB41_05714D8754DB_.wvu.Cols" localSheetId="12" hidden="1">Оргтехника!$K:$W</definedName>
    <definedName name="Z_93AFD236_396B_4FF3_AB41_05714D8754DB_.wvu.Cols" localSheetId="2" hidden="1">Энергетика!$N:$AC</definedName>
    <definedName name="Z_93AFD236_396B_4FF3_AB41_05714D8754DB_.wvu.FilterData" localSheetId="7" hidden="1">Геология!$A$1:$J$188</definedName>
    <definedName name="Z_93AFD236_396B_4FF3_AB41_05714D8754DB_.wvu.FilterData" localSheetId="10" hidden="1">Механика!$A$1:$J$564</definedName>
    <definedName name="Z_93AFD236_396B_4FF3_AB41_05714D8754DB_.wvu.FilterData" localSheetId="5" hidden="1">'ММ ва ТХ'!$A$1:$J$71</definedName>
    <definedName name="Z_93AFD236_396B_4FF3_AB41_05714D8754DB_.wvu.FilterData" localSheetId="1" hidden="1">'Объедененный перечень'!$A$7:$J$1394</definedName>
    <definedName name="Z_93AFD236_396B_4FF3_AB41_05714D8754DB_.wvu.Rows" localSheetId="7" hidden="1">Геология!$182:$188</definedName>
    <definedName name="Z_93AFD236_396B_4FF3_AB41_05714D8754DB_.wvu.Rows" localSheetId="8" hidden="1">Геофизика!#REF!,Геофизика!$4:$7,Геофизика!$9:$28,Геофизика!$29:$41,Геофизика!$43:$48</definedName>
    <definedName name="Z_93AFD236_396B_4FF3_AB41_05714D8754DB_.wvu.Rows" localSheetId="6" hidden="1">'Горный отд.'!$4:$42,'Горный отд.'!$45:$47,'Горный отд.'!#REF!,'Горный отд.'!$54:$56,'Горный отд.'!$59:$64</definedName>
    <definedName name="Z_93AFD236_396B_4FF3_AB41_05714D8754DB_.wvu.Rows" localSheetId="0" hidden="1">'Общий свод'!$6:$28,'Общий свод'!$30:$33,'Общий свод'!$35:$38,'Общий свод'!$41:$45,'Общий свод'!$47:$50,'Общий свод'!$52:$54,'Общий свод'!$56:$60,'Общий свод'!$63:$71</definedName>
    <definedName name="Z_93AFD236_396B_4FF3_AB41_05714D8754DB_.wvu.Rows" localSheetId="1" hidden="1">'Объедененный перечень'!$1:$6</definedName>
    <definedName name="Z_93AFD236_396B_4FF3_AB41_05714D8754DB_.wvu.Rows" localSheetId="3" hidden="1">Транспорт!$4:$39,Транспорт!$42:$53,Транспорт!$56:$57,Транспорт!$60:$204</definedName>
    <definedName name="Z_93AFD236_396B_4FF3_AB41_05714D8754DB_.wvu.Rows" localSheetId="2" hidden="1">Энергетика!$4:$9,Энергетика!$30:$32,Энергетика!$34:$41,Энергетика!$77:$82,Энергетика!$85:$90,Энергетика!$134:$135</definedName>
    <definedName name="Z_DEF9C65D_F8A0_4631_A6BF_69DD462E745F_.wvu.Cols" localSheetId="6" hidden="1">'Горный отд.'!$F:$F</definedName>
    <definedName name="Z_DEF9C65D_F8A0_4631_A6BF_69DD462E745F_.wvu.Cols" localSheetId="11" hidden="1">Металлопрокат!$F:$F</definedName>
    <definedName name="Z_DEF9C65D_F8A0_4631_A6BF_69DD462E745F_.wvu.Cols" localSheetId="5" hidden="1">'ММ ва ТХ'!$E:$E</definedName>
    <definedName name="Z_DEF9C65D_F8A0_4631_A6BF_69DD462E745F_.wvu.Cols" localSheetId="12" hidden="1">Оргтехника!$K:$W</definedName>
    <definedName name="Z_DEF9C65D_F8A0_4631_A6BF_69DD462E745F_.wvu.Cols" localSheetId="2" hidden="1">Энергетика!$N:$AC</definedName>
    <definedName name="Z_DEF9C65D_F8A0_4631_A6BF_69DD462E745F_.wvu.FilterData" localSheetId="7" hidden="1">Геология!$A$1:$J$188</definedName>
    <definedName name="Z_DEF9C65D_F8A0_4631_A6BF_69DD462E745F_.wvu.FilterData" localSheetId="10" hidden="1">Механика!$A$1:$J$564</definedName>
    <definedName name="Z_DEF9C65D_F8A0_4631_A6BF_69DD462E745F_.wvu.FilterData" localSheetId="5" hidden="1">'ММ ва ТХ'!$A$1:$J$71</definedName>
    <definedName name="Z_DEF9C65D_F8A0_4631_A6BF_69DD462E745F_.wvu.FilterData" localSheetId="1" hidden="1">'Объедененный перечень'!$A$7:$J$1394</definedName>
    <definedName name="Z_DEF9C65D_F8A0_4631_A6BF_69DD462E745F_.wvu.Rows" localSheetId="7" hidden="1">Геология!$182:$188</definedName>
    <definedName name="Z_DEF9C65D_F8A0_4631_A6BF_69DD462E745F_.wvu.Rows" localSheetId="8" hidden="1">Геофизика!#REF!,Геофизика!$4:$7,Геофизика!$9:$28,Геофизика!$29:$41,Геофизика!$43:$48</definedName>
    <definedName name="Z_DEF9C65D_F8A0_4631_A6BF_69DD462E745F_.wvu.Rows" localSheetId="6" hidden="1">'Горный отд.'!$4:$42,'Горный отд.'!$45:$47,'Горный отд.'!#REF!,'Горный отд.'!$54:$56,'Горный отд.'!$59:$64</definedName>
    <definedName name="Z_DEF9C65D_F8A0_4631_A6BF_69DD462E745F_.wvu.Rows" localSheetId="0" hidden="1">'Общий свод'!$6:$28,'Общий свод'!$30:$33,'Общий свод'!$35:$38,'Общий свод'!$41:$45,'Общий свод'!$47:$50,'Общий свод'!$52:$54,'Общий свод'!$56:$60,'Общий свод'!$63:$71</definedName>
    <definedName name="Z_DEF9C65D_F8A0_4631_A6BF_69DD462E745F_.wvu.Rows" localSheetId="1" hidden="1">'Объедененный перечень'!$1:$6</definedName>
    <definedName name="Z_DEF9C65D_F8A0_4631_A6BF_69DD462E745F_.wvu.Rows" localSheetId="3" hidden="1">Транспорт!$4:$39,Транспорт!$42:$53,Транспорт!$56:$57,Транспорт!$60:$204</definedName>
    <definedName name="Z_DEF9C65D_F8A0_4631_A6BF_69DD462E745F_.wvu.Rows" localSheetId="2" hidden="1">Энергетика!$4:$9,Энергетика!$30:$32,Энергетика!$34:$41,Энергетика!$77:$82,Энергетика!$85:$90,Энергетика!$134:$135</definedName>
    <definedName name="Z_F53706EC_596C_4347_9C22_A701412B0A41_.wvu.Cols" localSheetId="6" hidden="1">'Горный отд.'!$F:$F</definedName>
    <definedName name="Z_F53706EC_596C_4347_9C22_A701412B0A41_.wvu.Cols" localSheetId="11" hidden="1">Металлопрокат!$F:$F</definedName>
    <definedName name="Z_F53706EC_596C_4347_9C22_A701412B0A41_.wvu.Cols" localSheetId="5" hidden="1">'ММ ва ТХ'!$E:$E</definedName>
    <definedName name="Z_F53706EC_596C_4347_9C22_A701412B0A41_.wvu.Cols" localSheetId="12" hidden="1">Оргтехника!$K:$W</definedName>
    <definedName name="Z_F53706EC_596C_4347_9C22_A701412B0A41_.wvu.Cols" localSheetId="2" hidden="1">Энергетика!$N:$AC</definedName>
    <definedName name="Z_F53706EC_596C_4347_9C22_A701412B0A41_.wvu.FilterData" localSheetId="7" hidden="1">Геология!$A$1:$J$188</definedName>
    <definedName name="Z_F53706EC_596C_4347_9C22_A701412B0A41_.wvu.FilterData" localSheetId="10" hidden="1">Механика!$A$1:$J$564</definedName>
    <definedName name="Z_F53706EC_596C_4347_9C22_A701412B0A41_.wvu.FilterData" localSheetId="5" hidden="1">'ММ ва ТХ'!$A$1:$J$71</definedName>
    <definedName name="Z_F53706EC_596C_4347_9C22_A701412B0A41_.wvu.FilterData" localSheetId="1" hidden="1">'Объедененный перечень'!$A$7:$J$1394</definedName>
    <definedName name="Z_F53706EC_596C_4347_9C22_A701412B0A41_.wvu.Rows" localSheetId="7" hidden="1">Геология!$182:$188</definedName>
    <definedName name="Z_F53706EC_596C_4347_9C22_A701412B0A41_.wvu.Rows" localSheetId="8" hidden="1">Геофизика!#REF!,Геофизика!$4:$7,Геофизика!$9:$28,Геофизика!$29:$41,Геофизика!$43:$48</definedName>
    <definedName name="Z_F53706EC_596C_4347_9C22_A701412B0A41_.wvu.Rows" localSheetId="6" hidden="1">'Горный отд.'!$4:$42,'Горный отд.'!$45:$47,'Горный отд.'!#REF!,'Горный отд.'!$54:$56,'Горный отд.'!$59:$64</definedName>
    <definedName name="Z_F53706EC_596C_4347_9C22_A701412B0A41_.wvu.Rows" localSheetId="0" hidden="1">'Общий свод'!$6:$28,'Общий свод'!$30:$33,'Общий свод'!$35:$38,'Общий свод'!$41:$45,'Общий свод'!$47:$50,'Общий свод'!$52:$54,'Общий свод'!$56:$60,'Общий свод'!$63:$71</definedName>
    <definedName name="Z_F53706EC_596C_4347_9C22_A701412B0A41_.wvu.Rows" localSheetId="1" hidden="1">'Объедененный перечень'!$1:$6</definedName>
    <definedName name="Z_F53706EC_596C_4347_9C22_A701412B0A41_.wvu.Rows" localSheetId="3" hidden="1">Транспорт!$4:$39,Транспорт!$42:$53,Транспорт!$56:$57,Транспорт!$60:$204</definedName>
    <definedName name="Z_F53706EC_596C_4347_9C22_A701412B0A41_.wvu.Rows" localSheetId="2" hidden="1">Энергетика!$4:$9,Энергетика!$30:$32,Энергетика!$34:$41,Энергетика!$77:$82,Энергетика!$85:$90,Энергетика!$134:$135</definedName>
  </definedNames>
  <calcPr calcId="191029"/>
  <customWorkbookViews>
    <customWorkbookView name="Асрорхужаев Абдуллахужа Йулдошхужа - Личное представление" guid="{750F99BE-5C19-4848-A09A-0E4FD0F9F8FC}" mergeInterval="0" personalView="1" maximized="1" xWindow="-8" yWindow="-8" windowWidth="2576" windowHeight="1416" tabRatio="906" activeSheetId="14" showFormulaBar="0"/>
    <customWorkbookView name="Акрамов Музаффар Рахимджанович - Личное представление" guid="{DEF9C65D-F8A0-4631-A6BF-69DD462E745F}" mergeInterval="0" personalView="1" maximized="1" xWindow="-8" yWindow="-8" windowWidth="2576" windowHeight="1416" tabRatio="906" activeSheetId="4"/>
    <customWorkbookView name="Юсуббеков Сухроб Рустамбек угли - Личное представление" guid="{F53706EC-596C-4347-9C22-A701412B0A41}" mergeInterval="0" personalView="1" maximized="1" xWindow="-8" yWindow="-8" windowWidth="2576" windowHeight="1416" tabRatio="906" activeSheetId="9"/>
    <customWorkbookView name="Худояров Умид Алишерович - Личное представление" guid="{93AFD236-396B-4FF3-AB41-05714D8754DB}" mergeInterval="0" personalView="1" maximized="1" xWindow="-8" yWindow="-8" windowWidth="1936" windowHeight="1056" tabRatio="906" activeSheetId="1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5" i="12" l="1"/>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65" i="12"/>
  <c r="T66" i="12"/>
  <c r="T67" i="12"/>
  <c r="T68" i="12"/>
  <c r="T69" i="12"/>
  <c r="T70" i="12"/>
  <c r="T71" i="12"/>
  <c r="T72" i="12"/>
  <c r="T73" i="12"/>
  <c r="T74" i="12"/>
  <c r="T75" i="12"/>
  <c r="T76" i="12"/>
  <c r="T77" i="12"/>
  <c r="T78" i="12"/>
  <c r="T79" i="12"/>
  <c r="T80" i="12"/>
  <c r="T81" i="12"/>
  <c r="T82" i="12"/>
  <c r="T83" i="12"/>
  <c r="T84" i="12"/>
  <c r="T85" i="12"/>
  <c r="T86" i="12"/>
  <c r="T87" i="12"/>
  <c r="T88" i="12"/>
  <c r="T89" i="12"/>
  <c r="T90" i="12"/>
  <c r="T91" i="12"/>
  <c r="T92" i="12"/>
  <c r="T93" i="12"/>
  <c r="T94" i="12"/>
  <c r="T95" i="12"/>
  <c r="T96" i="12"/>
  <c r="T97" i="12"/>
  <c r="T98" i="12"/>
  <c r="T99" i="12"/>
  <c r="T100" i="12"/>
  <c r="T101" i="12"/>
  <c r="T102" i="12"/>
  <c r="T103" i="12"/>
  <c r="T104" i="12"/>
  <c r="T105" i="12"/>
  <c r="T106" i="12"/>
  <c r="T107" i="12"/>
  <c r="T108" i="12"/>
  <c r="T109" i="12"/>
  <c r="T110" i="12"/>
  <c r="T111" i="12"/>
  <c r="T112" i="12"/>
  <c r="T113" i="12"/>
  <c r="T114" i="12"/>
  <c r="T115" i="12"/>
  <c r="T116" i="12"/>
  <c r="T117" i="12"/>
  <c r="T118" i="12"/>
  <c r="T119" i="12"/>
  <c r="T120" i="12"/>
  <c r="T121" i="12"/>
  <c r="T122" i="12"/>
  <c r="T123" i="12"/>
  <c r="T124" i="12"/>
  <c r="T125" i="12"/>
  <c r="T126" i="12"/>
  <c r="T127" i="12"/>
  <c r="T128" i="12"/>
  <c r="T129" i="12"/>
  <c r="T130" i="12"/>
  <c r="T131" i="12"/>
  <c r="T132" i="12"/>
  <c r="T133" i="12"/>
  <c r="T134" i="12"/>
  <c r="T135" i="12"/>
  <c r="T136" i="12"/>
  <c r="T137" i="12"/>
  <c r="T138" i="12"/>
  <c r="T139" i="12"/>
  <c r="T140" i="12"/>
  <c r="T141" i="12"/>
  <c r="T142" i="12"/>
  <c r="T143" i="12"/>
  <c r="T144" i="12"/>
  <c r="T145" i="12"/>
  <c r="T146" i="12"/>
  <c r="T147" i="12"/>
  <c r="T148" i="12"/>
  <c r="T149" i="12"/>
  <c r="T150" i="12"/>
  <c r="T151" i="12"/>
  <c r="T152" i="12"/>
  <c r="T153" i="12"/>
  <c r="T154" i="12"/>
  <c r="T155" i="12"/>
  <c r="T156" i="12"/>
  <c r="T157" i="12"/>
  <c r="T158" i="12"/>
  <c r="T159" i="12"/>
  <c r="T160" i="12"/>
  <c r="T161" i="12"/>
  <c r="T162" i="12"/>
  <c r="T163" i="12"/>
  <c r="T164" i="12"/>
  <c r="T165" i="12"/>
  <c r="T166" i="12"/>
  <c r="T167" i="12"/>
  <c r="T168" i="12"/>
  <c r="T169" i="12"/>
  <c r="T170" i="12"/>
  <c r="T171" i="12"/>
  <c r="T172" i="12"/>
  <c r="T173" i="12"/>
  <c r="T174" i="12"/>
  <c r="T175" i="12"/>
  <c r="T176" i="12"/>
  <c r="T177" i="12"/>
  <c r="T178" i="12"/>
  <c r="T179" i="12"/>
  <c r="T180" i="12"/>
  <c r="T181" i="12"/>
  <c r="T182" i="12"/>
  <c r="T183" i="12"/>
  <c r="T184" i="12"/>
  <c r="T185" i="12"/>
  <c r="T186" i="12"/>
  <c r="T187" i="12"/>
  <c r="T188" i="12"/>
  <c r="T189" i="12"/>
  <c r="T190" i="12"/>
  <c r="T191" i="12"/>
  <c r="T192" i="12"/>
  <c r="T193" i="12"/>
  <c r="T194" i="12"/>
  <c r="T195" i="12"/>
  <c r="T196" i="12"/>
  <c r="T197" i="12"/>
  <c r="T198" i="12"/>
  <c r="T199" i="12"/>
  <c r="T200" i="12"/>
  <c r="T201" i="12"/>
  <c r="T202" i="12"/>
  <c r="T203" i="12"/>
  <c r="T204" i="12"/>
  <c r="T205" i="12"/>
  <c r="T206" i="12"/>
  <c r="T207" i="12"/>
  <c r="T208" i="12"/>
  <c r="T209" i="12"/>
  <c r="T210" i="12"/>
  <c r="T211" i="12"/>
  <c r="T212" i="12"/>
  <c r="T213" i="12"/>
  <c r="T214" i="12"/>
  <c r="T215" i="12"/>
  <c r="T216" i="12"/>
  <c r="T217" i="12"/>
  <c r="T218" i="12"/>
  <c r="T219" i="12"/>
  <c r="T220" i="12"/>
  <c r="T221" i="12"/>
  <c r="T222" i="12"/>
  <c r="T223" i="12"/>
  <c r="T224" i="12"/>
  <c r="T225" i="12"/>
  <c r="T226" i="12"/>
  <c r="T227" i="12"/>
  <c r="T228" i="12"/>
  <c r="T229" i="12"/>
  <c r="T230" i="12"/>
  <c r="T231" i="12"/>
  <c r="T232" i="12"/>
  <c r="T233" i="12"/>
  <c r="T234" i="12"/>
  <c r="T235" i="12"/>
  <c r="T236" i="12"/>
  <c r="T237" i="12"/>
  <c r="T238" i="12"/>
  <c r="T239" i="12"/>
  <c r="T240" i="12"/>
  <c r="T241" i="12"/>
  <c r="T242" i="12"/>
  <c r="T243" i="12"/>
  <c r="T244" i="12"/>
  <c r="T245" i="12"/>
  <c r="T246" i="12"/>
  <c r="T247" i="12"/>
  <c r="T248" i="12"/>
  <c r="T249" i="12"/>
  <c r="T250" i="12"/>
  <c r="T251" i="12"/>
  <c r="T252" i="12"/>
  <c r="T253" i="12"/>
  <c r="T254" i="12"/>
  <c r="T255" i="12"/>
  <c r="T256" i="12"/>
  <c r="T257" i="12"/>
  <c r="T258" i="12"/>
  <c r="T259" i="12"/>
  <c r="T260" i="12"/>
  <c r="T261" i="12"/>
  <c r="T262" i="12"/>
  <c r="T263" i="12"/>
  <c r="T264" i="12"/>
  <c r="T265" i="12"/>
  <c r="T266" i="12"/>
  <c r="T267" i="12"/>
  <c r="T268" i="12"/>
  <c r="T269" i="12"/>
  <c r="T270" i="12"/>
  <c r="T271" i="12"/>
  <c r="T272" i="12"/>
  <c r="T273" i="12"/>
  <c r="T274" i="12"/>
  <c r="T275" i="12"/>
  <c r="T276" i="12"/>
  <c r="T277" i="12"/>
  <c r="T278" i="12"/>
  <c r="T279" i="12"/>
  <c r="T280" i="12"/>
  <c r="T281" i="12"/>
  <c r="T282" i="12"/>
  <c r="T283" i="12"/>
  <c r="T284" i="12"/>
  <c r="T285" i="12"/>
  <c r="T286" i="12"/>
  <c r="T288" i="12"/>
  <c r="T289" i="12"/>
  <c r="T290" i="12"/>
  <c r="T291" i="12"/>
  <c r="T292" i="12"/>
  <c r="T293" i="12"/>
  <c r="T294" i="12"/>
  <c r="T295" i="12"/>
  <c r="T296" i="12"/>
  <c r="T297" i="12"/>
  <c r="T298" i="12"/>
  <c r="T299" i="12"/>
  <c r="T300" i="12"/>
  <c r="T301" i="12"/>
  <c r="T302" i="12"/>
  <c r="T303" i="12"/>
  <c r="T304" i="12"/>
  <c r="T305" i="12"/>
  <c r="T306" i="12"/>
  <c r="T307" i="12"/>
  <c r="T308" i="12"/>
  <c r="T310" i="12"/>
  <c r="T311" i="12"/>
  <c r="T312" i="12"/>
  <c r="T313" i="12"/>
  <c r="T314" i="12"/>
  <c r="T315" i="12"/>
  <c r="T316" i="12"/>
  <c r="T317" i="12"/>
  <c r="T318" i="12"/>
  <c r="T319" i="12"/>
  <c r="T320" i="12"/>
  <c r="T321" i="12"/>
  <c r="T322" i="12"/>
  <c r="T323" i="12"/>
  <c r="T324" i="12"/>
  <c r="T325" i="12"/>
  <c r="T326" i="12"/>
  <c r="T327" i="12"/>
  <c r="T328" i="12"/>
  <c r="T329" i="12"/>
  <c r="T330" i="12"/>
  <c r="T331" i="12"/>
  <c r="T332" i="12"/>
  <c r="T333" i="12"/>
  <c r="T334" i="12"/>
  <c r="T335" i="12"/>
  <c r="T336" i="12"/>
  <c r="T337" i="12"/>
  <c r="T338" i="12"/>
  <c r="T339" i="12"/>
  <c r="T340" i="12"/>
  <c r="T341" i="12"/>
  <c r="T342" i="12"/>
  <c r="T343" i="12"/>
  <c r="T344" i="12"/>
  <c r="T345" i="12"/>
  <c r="T346" i="12"/>
  <c r="T347" i="12"/>
  <c r="T348" i="12"/>
  <c r="T349" i="12"/>
  <c r="T350" i="12"/>
  <c r="T351" i="12"/>
  <c r="T352" i="12"/>
  <c r="T353" i="12"/>
  <c r="T354" i="12"/>
  <c r="T355" i="12"/>
  <c r="T356" i="12"/>
  <c r="T357" i="12"/>
  <c r="T358" i="12"/>
  <c r="T359" i="12"/>
  <c r="T360" i="12"/>
  <c r="T361" i="12"/>
  <c r="T362" i="12"/>
  <c r="T363" i="12"/>
  <c r="T364" i="12"/>
  <c r="T365" i="12"/>
  <c r="T366" i="12"/>
  <c r="T367" i="12"/>
  <c r="T368" i="12"/>
  <c r="T369" i="12"/>
  <c r="T370" i="12"/>
  <c r="T371" i="12"/>
  <c r="T372" i="12"/>
  <c r="T373" i="12"/>
  <c r="T374" i="12"/>
  <c r="T375" i="12"/>
  <c r="T376" i="12"/>
  <c r="T377" i="12"/>
  <c r="T378" i="12"/>
  <c r="T379" i="12"/>
  <c r="T380" i="12"/>
  <c r="T381" i="12"/>
  <c r="T382" i="12"/>
  <c r="T383" i="12"/>
  <c r="T384" i="12"/>
  <c r="T385" i="12"/>
  <c r="T386" i="12"/>
  <c r="T387" i="12"/>
  <c r="T388" i="12"/>
  <c r="T390" i="12"/>
  <c r="T391" i="12"/>
  <c r="T392" i="12"/>
  <c r="T393" i="12"/>
  <c r="T394" i="12"/>
  <c r="T395" i="12"/>
  <c r="T396" i="12"/>
  <c r="T397" i="12"/>
  <c r="T398" i="12"/>
  <c r="T399" i="12"/>
  <c r="T400" i="12"/>
  <c r="T401" i="12"/>
  <c r="T402" i="12"/>
  <c r="T403" i="12"/>
  <c r="T404" i="12"/>
  <c r="T405" i="12"/>
  <c r="T406" i="12"/>
  <c r="T407" i="12"/>
  <c r="T408" i="12"/>
  <c r="T409" i="12"/>
  <c r="T410" i="12"/>
  <c r="T411" i="12"/>
  <c r="T412" i="12"/>
  <c r="T413" i="12"/>
  <c r="T414" i="12"/>
  <c r="T415" i="12"/>
  <c r="T416" i="12"/>
  <c r="T417" i="12"/>
  <c r="T418" i="12"/>
  <c r="T419" i="12"/>
  <c r="T420" i="12"/>
  <c r="T421" i="12"/>
  <c r="T422" i="12"/>
  <c r="T423" i="12"/>
  <c r="T424" i="12"/>
  <c r="T425" i="12"/>
  <c r="T426" i="12"/>
  <c r="T427" i="12"/>
  <c r="T428" i="12"/>
  <c r="T429" i="12"/>
  <c r="T430" i="12"/>
  <c r="T431" i="12"/>
  <c r="T432" i="12"/>
  <c r="T433" i="12"/>
  <c r="T434" i="12"/>
  <c r="T435" i="12"/>
  <c r="T436" i="12"/>
  <c r="T437" i="12"/>
  <c r="T438" i="12"/>
  <c r="T439" i="12"/>
  <c r="T440" i="12"/>
  <c r="T441" i="12"/>
  <c r="T442" i="12"/>
  <c r="T443" i="12"/>
  <c r="T444" i="12"/>
  <c r="T445" i="12"/>
  <c r="T446" i="12"/>
  <c r="T447" i="12"/>
  <c r="T448" i="12"/>
  <c r="T449" i="12"/>
  <c r="T450" i="12"/>
  <c r="T451" i="12"/>
  <c r="T452" i="12"/>
  <c r="T453" i="12"/>
  <c r="T454" i="12"/>
  <c r="T455" i="12"/>
  <c r="T456" i="12"/>
  <c r="T457" i="12"/>
  <c r="T458" i="12"/>
  <c r="T459" i="12"/>
  <c r="T460" i="12"/>
  <c r="T461" i="12"/>
  <c r="T463" i="12"/>
  <c r="T464" i="12"/>
  <c r="T465" i="12"/>
  <c r="T466" i="12"/>
  <c r="T467" i="12"/>
  <c r="T468" i="12"/>
  <c r="T469" i="12"/>
  <c r="T470" i="12"/>
  <c r="T471" i="12"/>
  <c r="T472" i="12"/>
  <c r="T473" i="12"/>
  <c r="T474" i="12"/>
  <c r="T475" i="12"/>
  <c r="T476" i="12"/>
  <c r="T477" i="12"/>
  <c r="T478" i="12"/>
  <c r="T479" i="12"/>
  <c r="T480" i="12"/>
  <c r="T481" i="12"/>
  <c r="T482" i="12"/>
  <c r="T483" i="12"/>
  <c r="T484" i="12"/>
  <c r="T485" i="12"/>
  <c r="T486" i="12"/>
  <c r="T487" i="12"/>
  <c r="T488" i="12"/>
  <c r="T489" i="12"/>
  <c r="T490" i="12"/>
  <c r="T491" i="12"/>
  <c r="T492" i="12"/>
  <c r="T493" i="12"/>
  <c r="T494" i="12"/>
  <c r="T495" i="12"/>
  <c r="T496" i="12"/>
  <c r="T497" i="12"/>
  <c r="T498" i="12"/>
  <c r="T499" i="12"/>
  <c r="T500" i="12"/>
  <c r="T501" i="12"/>
  <c r="T502" i="12"/>
  <c r="T503" i="12"/>
  <c r="T504" i="12"/>
  <c r="T505" i="12"/>
  <c r="T506" i="12"/>
  <c r="T507" i="12"/>
  <c r="T508" i="12"/>
  <c r="T509" i="12"/>
  <c r="T510" i="12"/>
  <c r="T511" i="12"/>
  <c r="T512" i="12"/>
  <c r="T513" i="12"/>
  <c r="T514" i="12"/>
  <c r="T515" i="12"/>
  <c r="T516" i="12"/>
  <c r="T517" i="12"/>
  <c r="T518" i="12"/>
  <c r="T519" i="12"/>
  <c r="T520" i="12"/>
  <c r="T521" i="12"/>
  <c r="T522" i="12"/>
  <c r="T523" i="12"/>
  <c r="T524" i="12"/>
  <c r="T525" i="12"/>
  <c r="T526" i="12"/>
  <c r="T527" i="12"/>
  <c r="T528" i="12"/>
  <c r="T529" i="12"/>
  <c r="T530" i="12"/>
  <c r="T531" i="12"/>
  <c r="T532" i="12"/>
  <c r="T533" i="12"/>
  <c r="T534" i="12"/>
  <c r="T535" i="12"/>
  <c r="T536" i="12"/>
  <c r="T537" i="12"/>
  <c r="T538" i="12"/>
  <c r="T539" i="12"/>
  <c r="T540" i="12"/>
  <c r="T541" i="12"/>
  <c r="T542" i="12"/>
  <c r="T543" i="12"/>
  <c r="T544" i="12"/>
  <c r="T545" i="12"/>
  <c r="T546" i="12"/>
  <c r="T547" i="12"/>
  <c r="T548" i="12"/>
  <c r="T549" i="12"/>
  <c r="T550" i="12"/>
  <c r="T551" i="12"/>
  <c r="T552" i="12"/>
  <c r="T553" i="12"/>
  <c r="T554" i="12"/>
  <c r="T555" i="12"/>
  <c r="T556" i="12"/>
  <c r="T557" i="12"/>
  <c r="T558" i="12"/>
  <c r="T559" i="12"/>
  <c r="T560" i="12"/>
  <c r="T561" i="12"/>
  <c r="T562" i="12"/>
  <c r="T563" i="12"/>
  <c r="T564" i="12"/>
  <c r="T565" i="12"/>
  <c r="T566" i="12"/>
  <c r="T567" i="12"/>
  <c r="T568" i="12"/>
  <c r="T569" i="12"/>
  <c r="T570" i="12"/>
  <c r="T571" i="12"/>
  <c r="T572" i="12"/>
  <c r="T573" i="12"/>
  <c r="T574" i="12"/>
  <c r="T575" i="12"/>
  <c r="T576" i="12"/>
  <c r="T577" i="12"/>
  <c r="T578" i="12"/>
  <c r="T579" i="12"/>
  <c r="T580" i="12"/>
  <c r="T581" i="12"/>
  <c r="T582" i="12"/>
  <c r="T583" i="12"/>
  <c r="T584" i="12"/>
  <c r="T585" i="12"/>
  <c r="T586" i="12"/>
  <c r="T587" i="12"/>
  <c r="T588" i="12"/>
  <c r="T589" i="12"/>
  <c r="T590" i="12"/>
  <c r="T591" i="12"/>
  <c r="T592" i="12"/>
  <c r="T593" i="12"/>
  <c r="T594" i="12"/>
  <c r="T595" i="12"/>
  <c r="T596" i="12"/>
  <c r="T597" i="12"/>
  <c r="T598" i="12"/>
  <c r="T599" i="12"/>
  <c r="T600" i="12"/>
  <c r="T601" i="12"/>
  <c r="T602" i="12"/>
  <c r="T603" i="12"/>
  <c r="T604" i="12"/>
  <c r="T605" i="12"/>
  <c r="T606" i="12"/>
  <c r="T607" i="12"/>
  <c r="T608" i="12"/>
  <c r="T609" i="12"/>
  <c r="T610" i="12"/>
  <c r="T611" i="12"/>
  <c r="T612" i="12"/>
  <c r="T613" i="12"/>
  <c r="T614" i="12"/>
  <c r="T615" i="12"/>
  <c r="T616" i="12"/>
  <c r="T34" i="12"/>
  <c r="T5" i="12"/>
  <c r="T7" i="12"/>
  <c r="T8" i="12"/>
  <c r="T9" i="12"/>
  <c r="T10" i="12"/>
  <c r="T11" i="12"/>
  <c r="T12" i="12"/>
  <c r="T13" i="12"/>
  <c r="T14" i="12"/>
  <c r="T15" i="12"/>
  <c r="T16" i="12"/>
  <c r="T17" i="12"/>
  <c r="T18" i="12"/>
  <c r="T20" i="12"/>
  <c r="T21" i="12"/>
  <c r="T22" i="12"/>
  <c r="T23" i="12"/>
  <c r="T24" i="12"/>
  <c r="T25" i="12"/>
  <c r="T26" i="12"/>
  <c r="T27" i="12"/>
  <c r="T28" i="12"/>
  <c r="T29" i="12"/>
  <c r="T30" i="12"/>
  <c r="T31" i="12"/>
  <c r="T32" i="12"/>
  <c r="T4" i="12"/>
  <c r="U38" i="9" l="1"/>
  <c r="S38" i="9"/>
  <c r="S28" i="9"/>
  <c r="U25" i="9"/>
  <c r="S25" i="9"/>
  <c r="U24" i="9"/>
  <c r="S24" i="9"/>
  <c r="U15" i="9"/>
  <c r="S15" i="9"/>
  <c r="S11" i="9"/>
  <c r="U11" i="9"/>
  <c r="D9" i="9"/>
  <c r="U9" i="9"/>
  <c r="S9" i="9"/>
  <c r="U8" i="9"/>
  <c r="S8" i="9"/>
  <c r="U7" i="9"/>
  <c r="S7" i="9"/>
  <c r="U6" i="9"/>
  <c r="S6" i="9"/>
  <c r="S55" i="11"/>
  <c r="U55" i="11"/>
  <c r="AN112" i="3"/>
  <c r="AL112" i="3"/>
  <c r="AM62" i="3"/>
  <c r="S5" i="15"/>
  <c r="S6" i="15"/>
  <c r="S7" i="15"/>
  <c r="S8" i="15"/>
  <c r="S9" i="15"/>
  <c r="S10" i="15"/>
  <c r="S11" i="15"/>
  <c r="S12" i="15"/>
  <c r="S13" i="15"/>
  <c r="S14" i="15"/>
  <c r="S15" i="15"/>
  <c r="S16" i="15"/>
  <c r="S17" i="15"/>
  <c r="S18" i="15"/>
  <c r="S19" i="15"/>
  <c r="S20" i="15"/>
  <c r="S21" i="15"/>
  <c r="S23" i="15"/>
  <c r="S24" i="15"/>
  <c r="S25" i="15"/>
  <c r="S26" i="15"/>
  <c r="S27" i="15"/>
  <c r="S28" i="15"/>
  <c r="S29" i="15"/>
  <c r="S30" i="15"/>
  <c r="S31" i="15"/>
  <c r="S32" i="15"/>
  <c r="S33" i="15"/>
  <c r="S34" i="15"/>
  <c r="S35" i="15"/>
  <c r="S36" i="15"/>
  <c r="S37" i="15"/>
  <c r="S38" i="15"/>
  <c r="S39" i="15"/>
  <c r="S40" i="15"/>
  <c r="S41" i="15"/>
  <c r="S42" i="15"/>
  <c r="S43" i="15"/>
  <c r="S44" i="15"/>
  <c r="S45" i="15"/>
  <c r="S46" i="15"/>
  <c r="S47" i="15"/>
  <c r="S48" i="15"/>
  <c r="S49" i="15"/>
  <c r="S51" i="15"/>
  <c r="S52" i="15"/>
  <c r="S53" i="15"/>
  <c r="S54" i="15"/>
  <c r="S55" i="15"/>
  <c r="S56" i="15"/>
  <c r="S57" i="15"/>
  <c r="S58" i="15"/>
  <c r="S59" i="15"/>
  <c r="S60" i="15"/>
  <c r="S61" i="15"/>
  <c r="S62" i="15"/>
  <c r="S63" i="15"/>
  <c r="S64" i="15"/>
  <c r="S65" i="15"/>
  <c r="S66" i="15"/>
  <c r="S67" i="15"/>
  <c r="S68" i="15"/>
  <c r="S69" i="15"/>
  <c r="S70" i="15"/>
  <c r="S71" i="15"/>
  <c r="S72" i="15"/>
  <c r="S73" i="15"/>
  <c r="S74" i="15"/>
  <c r="S75" i="15"/>
  <c r="S76" i="15"/>
  <c r="S77" i="15"/>
  <c r="S78" i="15"/>
  <c r="S79" i="15"/>
  <c r="S80" i="15"/>
  <c r="S82" i="15"/>
  <c r="S83" i="15"/>
  <c r="S84" i="15"/>
  <c r="S85" i="15"/>
  <c r="S86" i="15"/>
  <c r="S87" i="15"/>
  <c r="S88" i="15"/>
  <c r="S89" i="15"/>
  <c r="S90" i="15"/>
  <c r="S91" i="15"/>
  <c r="S92" i="15"/>
  <c r="S93" i="15"/>
  <c r="S95" i="15"/>
  <c r="S96" i="15"/>
  <c r="S97" i="15"/>
  <c r="S98" i="15"/>
  <c r="S99" i="15"/>
  <c r="S100" i="15"/>
  <c r="S101" i="15"/>
  <c r="S102" i="15"/>
  <c r="S103" i="15"/>
  <c r="S104" i="15"/>
  <c r="S105" i="15"/>
  <c r="S106" i="15"/>
  <c r="S107" i="15"/>
  <c r="S108" i="15"/>
  <c r="S109" i="15"/>
  <c r="S110" i="15"/>
  <c r="S112" i="15"/>
  <c r="S113" i="15"/>
  <c r="S114" i="15"/>
  <c r="S115" i="15"/>
  <c r="S117" i="15"/>
  <c r="S118" i="15"/>
  <c r="S119" i="15"/>
  <c r="S120" i="15"/>
  <c r="S121" i="15"/>
  <c r="S122" i="15"/>
  <c r="S123" i="15"/>
  <c r="S124" i="15"/>
  <c r="S125" i="15"/>
  <c r="S126" i="15"/>
  <c r="S127" i="15"/>
  <c r="S128" i="15"/>
  <c r="S129" i="15"/>
  <c r="S130" i="15"/>
  <c r="S131" i="15"/>
  <c r="S132" i="15"/>
  <c r="S133" i="15"/>
  <c r="S134" i="15"/>
  <c r="S135" i="15"/>
  <c r="S136" i="15"/>
  <c r="S137" i="15"/>
  <c r="S138" i="15"/>
  <c r="S139" i="15"/>
  <c r="S140" i="15"/>
  <c r="S141" i="15"/>
  <c r="S142" i="15"/>
  <c r="S143" i="15"/>
  <c r="S144" i="15"/>
  <c r="S145" i="15"/>
  <c r="S147" i="15"/>
  <c r="S148" i="15"/>
  <c r="S149" i="15"/>
  <c r="S150" i="15"/>
  <c r="S151" i="15"/>
  <c r="S152" i="15"/>
  <c r="S153" i="15"/>
  <c r="S154" i="15"/>
  <c r="S155" i="15"/>
  <c r="S156" i="15"/>
  <c r="S157" i="15"/>
  <c r="S158" i="15"/>
  <c r="S160" i="15"/>
  <c r="S161" i="15"/>
  <c r="S162" i="15"/>
  <c r="S163" i="15"/>
  <c r="S164" i="15"/>
  <c r="S165" i="15"/>
  <c r="S166" i="15"/>
  <c r="S167" i="15"/>
  <c r="S169" i="15"/>
  <c r="S170" i="15"/>
  <c r="S171" i="15"/>
  <c r="S172" i="15"/>
  <c r="S173" i="15"/>
  <c r="S174" i="15"/>
  <c r="S175" i="15"/>
  <c r="S176" i="15"/>
  <c r="S177" i="15"/>
  <c r="S178" i="15"/>
  <c r="S179" i="15"/>
  <c r="S180" i="15"/>
  <c r="S181" i="15"/>
  <c r="S182" i="15"/>
  <c r="S183" i="15"/>
  <c r="S184" i="15"/>
  <c r="S186" i="15"/>
  <c r="S187" i="15"/>
  <c r="S188" i="15"/>
  <c r="S189" i="15"/>
  <c r="S190" i="15"/>
  <c r="S192" i="15"/>
  <c r="S193" i="15"/>
  <c r="S194" i="15"/>
  <c r="S195" i="15"/>
  <c r="S196" i="15"/>
  <c r="S197" i="15"/>
  <c r="S198" i="15"/>
  <c r="S199" i="15"/>
  <c r="S200" i="15"/>
  <c r="S201" i="15"/>
  <c r="S202" i="15"/>
  <c r="S203" i="15"/>
  <c r="S204" i="15"/>
  <c r="S205" i="15"/>
  <c r="S206" i="15"/>
  <c r="S208" i="15"/>
  <c r="S209" i="15"/>
  <c r="S210" i="15"/>
  <c r="S211" i="15"/>
  <c r="S212" i="15"/>
  <c r="S213" i="15"/>
  <c r="S214" i="15"/>
  <c r="S215" i="15"/>
  <c r="S216" i="15"/>
  <c r="S217" i="15"/>
  <c r="S218" i="15"/>
  <c r="S219" i="15"/>
  <c r="S220" i="15"/>
  <c r="S221" i="15"/>
  <c r="S222" i="15"/>
  <c r="S223" i="15"/>
  <c r="S224" i="15"/>
  <c r="S225" i="15"/>
  <c r="S226" i="15"/>
  <c r="S227" i="15"/>
  <c r="S228" i="15"/>
  <c r="S4" i="15"/>
  <c r="U7" i="11"/>
  <c r="S7" i="11"/>
  <c r="U4" i="11"/>
  <c r="S4" i="11"/>
  <c r="U5" i="11"/>
  <c r="S5" i="11"/>
  <c r="U65" i="11"/>
  <c r="S65" i="11"/>
  <c r="U62" i="11"/>
  <c r="S62" i="11"/>
  <c r="U61" i="11"/>
  <c r="S61" i="11"/>
  <c r="U59" i="11"/>
  <c r="S59" i="11"/>
  <c r="U57" i="11"/>
  <c r="S57" i="11"/>
  <c r="U31" i="11"/>
  <c r="S31" i="11"/>
  <c r="U25" i="11"/>
  <c r="S25" i="11"/>
  <c r="U24" i="11"/>
  <c r="S24" i="11"/>
  <c r="U22" i="11"/>
  <c r="S22" i="11"/>
  <c r="U20" i="11"/>
  <c r="S20" i="11"/>
  <c r="U16" i="11"/>
  <c r="S16" i="11"/>
  <c r="U15" i="11"/>
  <c r="S15" i="11"/>
  <c r="U14" i="11"/>
  <c r="S14" i="11"/>
  <c r="U13" i="11"/>
  <c r="S13" i="11"/>
  <c r="U12" i="11"/>
  <c r="S12" i="11"/>
  <c r="U53" i="4"/>
  <c r="S53" i="4"/>
  <c r="U51" i="4"/>
  <c r="S51" i="4"/>
  <c r="U50" i="4"/>
  <c r="U49" i="4"/>
  <c r="S50" i="4"/>
  <c r="S49" i="4"/>
  <c r="U47" i="4"/>
  <c r="S47" i="4"/>
  <c r="U46" i="4"/>
  <c r="S46" i="4"/>
  <c r="U20" i="4"/>
  <c r="S20" i="4"/>
  <c r="U10" i="4"/>
  <c r="S10" i="4"/>
  <c r="U11" i="4"/>
  <c r="S11" i="4"/>
  <c r="U14" i="4"/>
  <c r="S14" i="4"/>
  <c r="T19" i="4"/>
  <c r="U54" i="11"/>
  <c r="S54" i="11"/>
  <c r="T5" i="8"/>
  <c r="T6" i="8"/>
  <c r="T7" i="8"/>
  <c r="T8" i="8"/>
  <c r="T9" i="8"/>
  <c r="T10" i="8"/>
  <c r="T11" i="8"/>
  <c r="T12" i="8"/>
  <c r="T13" i="8"/>
  <c r="T14" i="8"/>
  <c r="T15" i="8"/>
  <c r="T16" i="8"/>
  <c r="T17" i="8"/>
  <c r="T18" i="8"/>
  <c r="T19" i="8"/>
  <c r="T20" i="8"/>
  <c r="T21" i="8"/>
  <c r="T22" i="8"/>
  <c r="T23" i="8"/>
  <c r="T24" i="8"/>
  <c r="T25" i="8"/>
  <c r="T26" i="8"/>
  <c r="T27" i="8"/>
  <c r="T28" i="8"/>
  <c r="T29" i="8"/>
  <c r="T30" i="8"/>
  <c r="T31" i="8"/>
  <c r="T32" i="8"/>
  <c r="T33" i="8"/>
  <c r="T34" i="8"/>
  <c r="T35" i="8"/>
  <c r="T36" i="8"/>
  <c r="T37" i="8"/>
  <c r="T38" i="8"/>
  <c r="T39" i="8"/>
  <c r="T40" i="8"/>
  <c r="T41" i="8"/>
  <c r="T42" i="8"/>
  <c r="T43" i="8"/>
  <c r="T44" i="8"/>
  <c r="T45" i="8"/>
  <c r="T46" i="8"/>
  <c r="T47" i="8"/>
  <c r="T48" i="8"/>
  <c r="T49" i="8"/>
  <c r="T50" i="8"/>
  <c r="T51" i="8"/>
  <c r="T52" i="8"/>
  <c r="T53" i="8"/>
  <c r="T54" i="8"/>
  <c r="T55" i="8"/>
  <c r="T56" i="8"/>
  <c r="T57" i="8"/>
  <c r="T58" i="8"/>
  <c r="T59" i="8"/>
  <c r="T60" i="8"/>
  <c r="T61" i="8"/>
  <c r="T62" i="8"/>
  <c r="T63" i="8"/>
  <c r="T64" i="8"/>
  <c r="T4" i="8"/>
  <c r="U12" i="5" l="1"/>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11" i="5"/>
  <c r="U9" i="5"/>
  <c r="U7" i="5"/>
  <c r="U5" i="5"/>
  <c r="AG73" i="20"/>
  <c r="AG165" i="20" s="1"/>
  <c r="AG71" i="20"/>
  <c r="AE71" i="20"/>
  <c r="AE73" i="20"/>
  <c r="AG72" i="20"/>
  <c r="AE72" i="20"/>
  <c r="U61" i="13"/>
  <c r="S61" i="13"/>
  <c r="U60" i="13"/>
  <c r="S60" i="13"/>
  <c r="U59" i="13"/>
  <c r="S59" i="13"/>
  <c r="S58" i="13" l="1"/>
  <c r="T58" i="13" s="1"/>
  <c r="U58" i="13"/>
  <c r="U56" i="13"/>
  <c r="S56" i="13"/>
  <c r="U57" i="13"/>
  <c r="S57" i="13"/>
  <c r="T57" i="13" s="1"/>
  <c r="T56" i="13"/>
  <c r="T5" i="13"/>
  <c r="T6" i="13"/>
  <c r="T8" i="13"/>
  <c r="T9" i="13"/>
  <c r="T10" i="13"/>
  <c r="T11" i="13"/>
  <c r="T12" i="13"/>
  <c r="T13" i="13"/>
  <c r="T14" i="13"/>
  <c r="T15" i="13"/>
  <c r="T16" i="13"/>
  <c r="T17" i="13"/>
  <c r="T18" i="13"/>
  <c r="T19" i="13"/>
  <c r="T20" i="13"/>
  <c r="T21" i="13"/>
  <c r="T22" i="13"/>
  <c r="T23" i="13"/>
  <c r="T24" i="13"/>
  <c r="T26" i="13"/>
  <c r="T27" i="13"/>
  <c r="T28" i="13"/>
  <c r="T30" i="13"/>
  <c r="T31" i="13"/>
  <c r="T32" i="13"/>
  <c r="T33" i="13"/>
  <c r="T34" i="13"/>
  <c r="T36" i="13"/>
  <c r="T37" i="13"/>
  <c r="T38" i="13"/>
  <c r="T39" i="13"/>
  <c r="T41" i="13"/>
  <c r="T42" i="13"/>
  <c r="T43" i="13"/>
  <c r="T44" i="13"/>
  <c r="T46" i="13"/>
  <c r="T47" i="13"/>
  <c r="T48" i="13"/>
  <c r="T49" i="13"/>
  <c r="T50" i="13"/>
  <c r="T52" i="13"/>
  <c r="T53" i="13"/>
  <c r="T54" i="13"/>
  <c r="T59" i="13"/>
  <c r="T60" i="13"/>
  <c r="T61" i="13"/>
  <c r="T4" i="13"/>
  <c r="D43" i="16"/>
  <c r="D44" i="16"/>
  <c r="T44" i="16" s="1"/>
  <c r="D45" i="16"/>
  <c r="T45" i="16" s="1"/>
  <c r="D46" i="16"/>
  <c r="T46" i="16" s="1"/>
  <c r="D47" i="16"/>
  <c r="T47" i="16" s="1"/>
  <c r="D48" i="16"/>
  <c r="D49" i="16"/>
  <c r="D50" i="16"/>
  <c r="D51" i="16"/>
  <c r="T51" i="16" s="1"/>
  <c r="D52" i="16"/>
  <c r="T52" i="16" s="1"/>
  <c r="D53" i="16"/>
  <c r="T53" i="16" s="1"/>
  <c r="D54" i="16"/>
  <c r="T54" i="16" s="1"/>
  <c r="D55" i="16"/>
  <c r="D56" i="16"/>
  <c r="T56" i="16" s="1"/>
  <c r="D57" i="16"/>
  <c r="T57" i="16" s="1"/>
  <c r="D58" i="16"/>
  <c r="T58" i="16" s="1"/>
  <c r="D59" i="16"/>
  <c r="D60" i="16"/>
  <c r="D61" i="16"/>
  <c r="T61" i="16" s="1"/>
  <c r="D62" i="16"/>
  <c r="T62" i="16" s="1"/>
  <c r="D63" i="16"/>
  <c r="T63" i="16" s="1"/>
  <c r="D64" i="16"/>
  <c r="T64" i="16" s="1"/>
  <c r="D65" i="16"/>
  <c r="T65" i="16" s="1"/>
  <c r="D66" i="16"/>
  <c r="T66" i="16" s="1"/>
  <c r="D67" i="16"/>
  <c r="D68" i="16"/>
  <c r="D69" i="16"/>
  <c r="D70" i="16"/>
  <c r="T70" i="16" s="1"/>
  <c r="D71" i="16"/>
  <c r="D72" i="16"/>
  <c r="T72" i="16" s="1"/>
  <c r="D73" i="16"/>
  <c r="T73" i="16" s="1"/>
  <c r="D74" i="16"/>
  <c r="T74" i="16" s="1"/>
  <c r="D75" i="16"/>
  <c r="T75" i="16" s="1"/>
  <c r="D76" i="16"/>
  <c r="T76" i="16" s="1"/>
  <c r="D77" i="16"/>
  <c r="T77" i="16" s="1"/>
  <c r="D78" i="16"/>
  <c r="T78" i="16" s="1"/>
  <c r="D79" i="16"/>
  <c r="D80" i="16"/>
  <c r="D81" i="16"/>
  <c r="D82" i="16"/>
  <c r="T82" i="16" s="1"/>
  <c r="D83" i="16"/>
  <c r="D84" i="16"/>
  <c r="T84" i="16" s="1"/>
  <c r="D85" i="16"/>
  <c r="D86" i="16"/>
  <c r="T86" i="16" s="1"/>
  <c r="D42" i="16"/>
  <c r="T42" i="16" s="1"/>
  <c r="T50" i="16"/>
  <c r="T38" i="16"/>
  <c r="T39" i="16"/>
  <c r="T40" i="16"/>
  <c r="T41" i="16"/>
  <c r="T43" i="16"/>
  <c r="T48" i="16"/>
  <c r="T49" i="16"/>
  <c r="T55" i="16"/>
  <c r="T59" i="16"/>
  <c r="T60" i="16"/>
  <c r="T67" i="16"/>
  <c r="T68" i="16"/>
  <c r="T69" i="16"/>
  <c r="T71" i="16"/>
  <c r="T79" i="16"/>
  <c r="T80" i="16"/>
  <c r="T81" i="16"/>
  <c r="T83" i="16"/>
  <c r="T85" i="16"/>
  <c r="T87" i="16"/>
  <c r="S81" i="9"/>
  <c r="T81" i="9" s="1"/>
  <c r="U81" i="9"/>
  <c r="T11" i="9"/>
  <c r="T5" i="9"/>
  <c r="T6" i="9"/>
  <c r="T7" i="9"/>
  <c r="T8" i="9"/>
  <c r="T9" i="9"/>
  <c r="T10" i="9"/>
  <c r="T12" i="9"/>
  <c r="T13" i="9"/>
  <c r="T14" i="9"/>
  <c r="T15" i="9"/>
  <c r="T16" i="9"/>
  <c r="T17" i="9"/>
  <c r="T18" i="9"/>
  <c r="T19" i="9"/>
  <c r="T20" i="9"/>
  <c r="T21" i="9"/>
  <c r="T22" i="9"/>
  <c r="T23" i="9"/>
  <c r="T24" i="9"/>
  <c r="T25" i="9"/>
  <c r="T26" i="9"/>
  <c r="T27" i="9"/>
  <c r="T28" i="9"/>
  <c r="T29" i="9"/>
  <c r="T30" i="9"/>
  <c r="T31" i="9"/>
  <c r="T32" i="9"/>
  <c r="T33" i="9"/>
  <c r="T34" i="9"/>
  <c r="T35" i="9"/>
  <c r="T36" i="9"/>
  <c r="T37" i="9"/>
  <c r="T38" i="9"/>
  <c r="T39" i="9"/>
  <c r="T40" i="9"/>
  <c r="T41" i="9"/>
  <c r="T42" i="9"/>
  <c r="T43" i="9"/>
  <c r="T44" i="9"/>
  <c r="T45" i="9"/>
  <c r="T46" i="9"/>
  <c r="T47" i="9"/>
  <c r="T48" i="9"/>
  <c r="T49" i="9"/>
  <c r="T50" i="9"/>
  <c r="T51" i="9"/>
  <c r="T52" i="9"/>
  <c r="T53" i="9"/>
  <c r="T54" i="9"/>
  <c r="T55" i="9"/>
  <c r="T56" i="9"/>
  <c r="T57" i="9"/>
  <c r="T58" i="9"/>
  <c r="T59" i="9"/>
  <c r="T60" i="9"/>
  <c r="T61" i="9"/>
  <c r="T62" i="9"/>
  <c r="T63" i="9"/>
  <c r="T64" i="9"/>
  <c r="T65" i="9"/>
  <c r="T66" i="9"/>
  <c r="T67" i="9"/>
  <c r="T68" i="9"/>
  <c r="T69" i="9"/>
  <c r="T70" i="9"/>
  <c r="T71" i="9"/>
  <c r="T72" i="9"/>
  <c r="T73" i="9"/>
  <c r="T74" i="9"/>
  <c r="T75" i="9"/>
  <c r="T76" i="9"/>
  <c r="T77" i="9"/>
  <c r="T78" i="9"/>
  <c r="T79" i="9"/>
  <c r="T80" i="9"/>
  <c r="T82" i="9"/>
  <c r="T83" i="9"/>
  <c r="T84" i="9"/>
  <c r="T85" i="9"/>
  <c r="T86" i="9"/>
  <c r="T87" i="9"/>
  <c r="T88" i="9"/>
  <c r="T89" i="9"/>
  <c r="T90" i="9"/>
  <c r="T91" i="9"/>
  <c r="T92" i="9"/>
  <c r="T93" i="9"/>
  <c r="T94" i="9"/>
  <c r="T95" i="9"/>
  <c r="T96" i="9"/>
  <c r="T97" i="9"/>
  <c r="T98" i="9"/>
  <c r="T99" i="9"/>
  <c r="T100" i="9"/>
  <c r="T101" i="9"/>
  <c r="T102" i="9"/>
  <c r="T103" i="9"/>
  <c r="T104" i="9"/>
  <c r="T105" i="9"/>
  <c r="T106" i="9"/>
  <c r="T107" i="9"/>
  <c r="T108" i="9"/>
  <c r="T109" i="9"/>
  <c r="T110" i="9"/>
  <c r="T111" i="9"/>
  <c r="T112" i="9"/>
  <c r="T113" i="9"/>
  <c r="T114" i="9"/>
  <c r="T115" i="9"/>
  <c r="T116" i="9"/>
  <c r="T117" i="9"/>
  <c r="T118" i="9"/>
  <c r="T119" i="9"/>
  <c r="T120" i="9"/>
  <c r="T121" i="9"/>
  <c r="T122" i="9"/>
  <c r="T123" i="9"/>
  <c r="T124" i="9"/>
  <c r="T125" i="9"/>
  <c r="T126" i="9"/>
  <c r="T127" i="9"/>
  <c r="T128" i="9"/>
  <c r="T129" i="9"/>
  <c r="T130" i="9"/>
  <c r="T131" i="9"/>
  <c r="T132" i="9"/>
  <c r="T133" i="9"/>
  <c r="T134" i="9"/>
  <c r="T135" i="9"/>
  <c r="T136" i="9"/>
  <c r="T137" i="9"/>
  <c r="T138" i="9"/>
  <c r="T139" i="9"/>
  <c r="T140" i="9"/>
  <c r="T141" i="9"/>
  <c r="T142" i="9"/>
  <c r="T143" i="9"/>
  <c r="T144" i="9"/>
  <c r="T145" i="9"/>
  <c r="T146" i="9"/>
  <c r="T147" i="9"/>
  <c r="T148" i="9"/>
  <c r="T149" i="9"/>
  <c r="T150" i="9"/>
  <c r="T151" i="9"/>
  <c r="T152" i="9"/>
  <c r="T153" i="9"/>
  <c r="T154" i="9"/>
  <c r="T155" i="9"/>
  <c r="T156" i="9"/>
  <c r="T157" i="9"/>
  <c r="T158" i="9"/>
  <c r="T159" i="9"/>
  <c r="T160" i="9"/>
  <c r="T161" i="9"/>
  <c r="T162" i="9"/>
  <c r="T163" i="9"/>
  <c r="T164" i="9"/>
  <c r="T165" i="9"/>
  <c r="T166" i="9"/>
  <c r="T167" i="9"/>
  <c r="T168" i="9"/>
  <c r="T169" i="9"/>
  <c r="T170" i="9"/>
  <c r="T171" i="9"/>
  <c r="T172" i="9"/>
  <c r="T173" i="9"/>
  <c r="T174" i="9"/>
  <c r="T175" i="9"/>
  <c r="T176" i="9"/>
  <c r="T177" i="9"/>
  <c r="T178" i="9"/>
  <c r="T179" i="9"/>
  <c r="T180" i="9"/>
  <c r="T181" i="9"/>
  <c r="T182" i="9"/>
  <c r="T183" i="9"/>
  <c r="T184" i="9"/>
  <c r="T185" i="9"/>
  <c r="T186" i="9"/>
  <c r="T187" i="9"/>
  <c r="T188" i="9"/>
  <c r="T189" i="9"/>
  <c r="T4" i="9"/>
  <c r="AM4" i="3" l="1"/>
  <c r="AM6" i="3"/>
  <c r="AM13" i="3"/>
  <c r="AM14" i="3"/>
  <c r="AM15" i="3"/>
  <c r="AM16" i="3"/>
  <c r="AM20" i="3"/>
  <c r="AM30" i="3"/>
  <c r="AM33" i="3"/>
  <c r="AM34" i="3"/>
  <c r="AM35" i="3"/>
  <c r="AM36" i="3"/>
  <c r="AM37" i="3"/>
  <c r="AM39" i="3"/>
  <c r="AM40" i="3"/>
  <c r="AM41" i="3"/>
  <c r="AM42" i="3"/>
  <c r="AM43" i="3"/>
  <c r="AM44" i="3"/>
  <c r="AM45" i="3"/>
  <c r="AM46" i="3"/>
  <c r="AM47" i="3"/>
  <c r="AM49" i="3"/>
  <c r="AM50" i="3"/>
  <c r="AM52" i="3"/>
  <c r="AM54" i="3"/>
  <c r="AM55" i="3"/>
  <c r="AM56" i="3"/>
  <c r="AM61" i="3"/>
  <c r="AM64" i="3"/>
  <c r="AM67" i="3"/>
  <c r="AM77" i="3"/>
  <c r="AM78" i="3"/>
  <c r="AM79" i="3"/>
  <c r="AM80" i="3"/>
  <c r="AM81" i="3"/>
  <c r="AM82" i="3"/>
  <c r="AM83" i="3"/>
  <c r="AM102" i="3"/>
  <c r="AM103" i="3"/>
  <c r="AM104" i="3"/>
  <c r="AM105" i="3"/>
  <c r="AM115" i="3"/>
  <c r="AM116" i="3"/>
  <c r="AM117" i="3"/>
  <c r="AM120" i="3"/>
  <c r="AM121" i="3"/>
  <c r="AM123" i="3"/>
  <c r="AM126" i="3"/>
  <c r="AM141" i="3"/>
  <c r="AM142" i="3"/>
  <c r="AM143" i="3"/>
  <c r="AM144" i="3"/>
  <c r="AM146" i="3"/>
  <c r="AM148" i="3"/>
  <c r="AM152" i="3"/>
  <c r="AM156" i="3"/>
  <c r="AM157" i="3"/>
  <c r="AM158" i="3"/>
  <c r="AM159" i="3"/>
  <c r="AM160" i="3"/>
  <c r="U58" i="11" l="1"/>
  <c r="S58" i="11"/>
  <c r="T54" i="11"/>
  <c r="T5" i="11"/>
  <c r="T6" i="11"/>
  <c r="T7" i="11"/>
  <c r="T8" i="11"/>
  <c r="T9" i="11"/>
  <c r="T10" i="11"/>
  <c r="T11" i="11"/>
  <c r="T12" i="11"/>
  <c r="T13" i="11"/>
  <c r="T14" i="11"/>
  <c r="T15" i="11"/>
  <c r="T16" i="11"/>
  <c r="T17" i="11"/>
  <c r="T18" i="11"/>
  <c r="T19" i="11"/>
  <c r="T20" i="11"/>
  <c r="T21" i="11"/>
  <c r="T22" i="11"/>
  <c r="T23" i="11"/>
  <c r="T24" i="11"/>
  <c r="T25" i="11"/>
  <c r="T26" i="11"/>
  <c r="T27" i="11"/>
  <c r="T30" i="11"/>
  <c r="T31" i="11"/>
  <c r="T32" i="11"/>
  <c r="T33" i="11"/>
  <c r="T34" i="11"/>
  <c r="T35" i="11"/>
  <c r="T36" i="11"/>
  <c r="T37" i="11"/>
  <c r="T38" i="11"/>
  <c r="T39" i="11"/>
  <c r="T42" i="11"/>
  <c r="T43" i="11"/>
  <c r="T44" i="11"/>
  <c r="T45" i="11"/>
  <c r="T46" i="11"/>
  <c r="T47" i="11"/>
  <c r="T48" i="11"/>
  <c r="T49" i="11"/>
  <c r="T50" i="11"/>
  <c r="T51" i="11"/>
  <c r="T55" i="11"/>
  <c r="T56" i="11"/>
  <c r="T57" i="11"/>
  <c r="T58" i="11"/>
  <c r="T59" i="11"/>
  <c r="T60" i="11"/>
  <c r="T61" i="11"/>
  <c r="T62" i="11"/>
  <c r="T63" i="11"/>
  <c r="T64" i="11"/>
  <c r="T65" i="11"/>
  <c r="T66" i="11"/>
  <c r="T67" i="11"/>
  <c r="T68" i="11"/>
  <c r="T4" i="11"/>
  <c r="T40" i="4"/>
  <c r="T41"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T104" i="4"/>
  <c r="T105" i="4"/>
  <c r="T106" i="4"/>
  <c r="T107" i="4"/>
  <c r="T108" i="4"/>
  <c r="T109" i="4"/>
  <c r="T110" i="4"/>
  <c r="T111" i="4"/>
  <c r="T112" i="4"/>
  <c r="T113" i="4"/>
  <c r="T114" i="4"/>
  <c r="T115" i="4"/>
  <c r="T116" i="4"/>
  <c r="T117" i="4"/>
  <c r="T118" i="4"/>
  <c r="T119" i="4"/>
  <c r="T120" i="4"/>
  <c r="T121" i="4"/>
  <c r="T122" i="4"/>
  <c r="T123" i="4"/>
  <c r="T124" i="4"/>
  <c r="T125" i="4"/>
  <c r="T126" i="4"/>
  <c r="T127" i="4"/>
  <c r="T128" i="4"/>
  <c r="T129" i="4"/>
  <c r="T130" i="4"/>
  <c r="T131" i="4"/>
  <c r="T132" i="4"/>
  <c r="T133" i="4"/>
  <c r="T134" i="4"/>
  <c r="T135" i="4"/>
  <c r="T136" i="4"/>
  <c r="T137" i="4"/>
  <c r="T138" i="4"/>
  <c r="T139" i="4"/>
  <c r="T140" i="4"/>
  <c r="T141" i="4"/>
  <c r="T142" i="4"/>
  <c r="T143" i="4"/>
  <c r="T144" i="4"/>
  <c r="T145" i="4"/>
  <c r="T146" i="4"/>
  <c r="T147" i="4"/>
  <c r="T148" i="4"/>
  <c r="T149" i="4"/>
  <c r="T150" i="4"/>
  <c r="T151" i="4"/>
  <c r="T152" i="4"/>
  <c r="T153" i="4"/>
  <c r="T154" i="4"/>
  <c r="T155" i="4"/>
  <c r="T156" i="4"/>
  <c r="T157" i="4"/>
  <c r="T158" i="4"/>
  <c r="T159" i="4"/>
  <c r="T160" i="4"/>
  <c r="T161" i="4"/>
  <c r="T162" i="4"/>
  <c r="T163" i="4"/>
  <c r="T164" i="4"/>
  <c r="T165" i="4"/>
  <c r="T166" i="4"/>
  <c r="T167" i="4"/>
  <c r="T168" i="4"/>
  <c r="T169" i="4"/>
  <c r="T170" i="4"/>
  <c r="T171" i="4"/>
  <c r="T172" i="4"/>
  <c r="T173" i="4"/>
  <c r="T174" i="4"/>
  <c r="T175" i="4"/>
  <c r="T176" i="4"/>
  <c r="T177" i="4"/>
  <c r="T178" i="4"/>
  <c r="T179" i="4"/>
  <c r="T180" i="4"/>
  <c r="T181" i="4"/>
  <c r="T182" i="4"/>
  <c r="T183" i="4"/>
  <c r="T184" i="4"/>
  <c r="T185" i="4"/>
  <c r="T186" i="4"/>
  <c r="T187" i="4"/>
  <c r="T188" i="4"/>
  <c r="T189" i="4"/>
  <c r="T190" i="4"/>
  <c r="T191" i="4"/>
  <c r="T192" i="4"/>
  <c r="T193" i="4"/>
  <c r="T194" i="4"/>
  <c r="T195" i="4"/>
  <c r="T196" i="4"/>
  <c r="T197" i="4"/>
  <c r="T198" i="4"/>
  <c r="T199" i="4"/>
  <c r="T200" i="4"/>
  <c r="T201" i="4"/>
  <c r="T202" i="4"/>
  <c r="T203" i="4"/>
  <c r="T204" i="4"/>
  <c r="T205" i="4"/>
  <c r="T206" i="4"/>
  <c r="P616" i="12" l="1"/>
  <c r="O616" i="12"/>
  <c r="N616" i="12"/>
  <c r="M616" i="12"/>
  <c r="L616" i="12"/>
  <c r="P615" i="12"/>
  <c r="O615" i="12"/>
  <c r="N615" i="12"/>
  <c r="M615" i="12"/>
  <c r="L615" i="12"/>
  <c r="P614" i="12"/>
  <c r="O614" i="12"/>
  <c r="N614" i="12"/>
  <c r="M614" i="12"/>
  <c r="L614" i="12"/>
  <c r="P613" i="12"/>
  <c r="O613" i="12"/>
  <c r="N613" i="12"/>
  <c r="M613" i="12"/>
  <c r="L613" i="12"/>
  <c r="P612" i="12"/>
  <c r="O612" i="12"/>
  <c r="N612" i="12"/>
  <c r="M612" i="12"/>
  <c r="L612" i="12"/>
  <c r="P611" i="12"/>
  <c r="O611" i="12"/>
  <c r="N611" i="12"/>
  <c r="M611" i="12"/>
  <c r="L611" i="12"/>
  <c r="P610" i="12"/>
  <c r="O610" i="12"/>
  <c r="N610" i="12"/>
  <c r="M610" i="12"/>
  <c r="L610" i="12"/>
  <c r="P609" i="12"/>
  <c r="O609" i="12"/>
  <c r="N609" i="12"/>
  <c r="M609" i="12"/>
  <c r="L609" i="12"/>
  <c r="P608" i="12"/>
  <c r="O608" i="12"/>
  <c r="N608" i="12"/>
  <c r="M608" i="12"/>
  <c r="L608" i="12"/>
  <c r="P607" i="12"/>
  <c r="O607" i="12"/>
  <c r="N607" i="12"/>
  <c r="M607" i="12"/>
  <c r="L607" i="12"/>
  <c r="P606" i="12"/>
  <c r="O606" i="12"/>
  <c r="N606" i="12"/>
  <c r="M606" i="12"/>
  <c r="L606" i="12"/>
  <c r="P605" i="12"/>
  <c r="O605" i="12"/>
  <c r="N605" i="12"/>
  <c r="M605" i="12"/>
  <c r="L605" i="12"/>
  <c r="P604" i="12"/>
  <c r="O604" i="12"/>
  <c r="N604" i="12"/>
  <c r="M604" i="12"/>
  <c r="L604" i="12"/>
  <c r="P603" i="12"/>
  <c r="O603" i="12"/>
  <c r="N603" i="12"/>
  <c r="M603" i="12"/>
  <c r="L603" i="12"/>
  <c r="P602" i="12"/>
  <c r="O602" i="12"/>
  <c r="N602" i="12"/>
  <c r="M602" i="12"/>
  <c r="L602" i="12"/>
  <c r="P601" i="12"/>
  <c r="O601" i="12"/>
  <c r="N601" i="12"/>
  <c r="M601" i="12"/>
  <c r="L601" i="12"/>
  <c r="P600" i="12"/>
  <c r="O600" i="12"/>
  <c r="N600" i="12"/>
  <c r="M600" i="12"/>
  <c r="L600" i="12"/>
  <c r="P599" i="12"/>
  <c r="O599" i="12"/>
  <c r="N599" i="12"/>
  <c r="M599" i="12"/>
  <c r="L599" i="12"/>
  <c r="P598" i="12"/>
  <c r="O598" i="12"/>
  <c r="N598" i="12"/>
  <c r="M598" i="12"/>
  <c r="L598" i="12"/>
  <c r="P597" i="12"/>
  <c r="O597" i="12"/>
  <c r="N597" i="12"/>
  <c r="M597" i="12"/>
  <c r="L597" i="12"/>
  <c r="P596" i="12"/>
  <c r="O596" i="12"/>
  <c r="N596" i="12"/>
  <c r="M596" i="12"/>
  <c r="L596" i="12"/>
  <c r="P595" i="12"/>
  <c r="O595" i="12"/>
  <c r="N595" i="12"/>
  <c r="M595" i="12"/>
  <c r="L595" i="12"/>
  <c r="P594" i="12"/>
  <c r="O594" i="12"/>
  <c r="N594" i="12"/>
  <c r="M594" i="12"/>
  <c r="L594" i="12"/>
  <c r="P593" i="12"/>
  <c r="O593" i="12"/>
  <c r="N593" i="12"/>
  <c r="M593" i="12"/>
  <c r="L593" i="12"/>
  <c r="P592" i="12"/>
  <c r="O592" i="12"/>
  <c r="N592" i="12"/>
  <c r="M592" i="12"/>
  <c r="L592" i="12"/>
  <c r="P591" i="12"/>
  <c r="O591" i="12"/>
  <c r="N591" i="12"/>
  <c r="M591" i="12"/>
  <c r="L591" i="12"/>
  <c r="P590" i="12"/>
  <c r="O590" i="12"/>
  <c r="N590" i="12"/>
  <c r="M590" i="12"/>
  <c r="L590" i="12"/>
  <c r="P589" i="12"/>
  <c r="O589" i="12"/>
  <c r="N589" i="12"/>
  <c r="M589" i="12"/>
  <c r="L589" i="12"/>
  <c r="P588" i="12"/>
  <c r="O588" i="12"/>
  <c r="N588" i="12"/>
  <c r="M588" i="12"/>
  <c r="L588" i="12"/>
  <c r="P587" i="12"/>
  <c r="O587" i="12"/>
  <c r="N587" i="12"/>
  <c r="M587" i="12"/>
  <c r="L587" i="12"/>
  <c r="P586" i="12"/>
  <c r="O586" i="12"/>
  <c r="N586" i="12"/>
  <c r="M586" i="12"/>
  <c r="L586" i="12"/>
  <c r="P585" i="12"/>
  <c r="O585" i="12"/>
  <c r="N585" i="12"/>
  <c r="M585" i="12"/>
  <c r="L585" i="12"/>
  <c r="P584" i="12"/>
  <c r="O584" i="12"/>
  <c r="N584" i="12"/>
  <c r="M584" i="12"/>
  <c r="L584" i="12"/>
  <c r="P583" i="12"/>
  <c r="O583" i="12"/>
  <c r="N583" i="12"/>
  <c r="M583" i="12"/>
  <c r="L583" i="12"/>
  <c r="P582" i="12"/>
  <c r="O582" i="12"/>
  <c r="N582" i="12"/>
  <c r="M582" i="12"/>
  <c r="L582" i="12"/>
  <c r="P581" i="12"/>
  <c r="O581" i="12"/>
  <c r="N581" i="12"/>
  <c r="M581" i="12"/>
  <c r="L581" i="12"/>
  <c r="P580" i="12"/>
  <c r="O580" i="12"/>
  <c r="N580" i="12"/>
  <c r="M580" i="12"/>
  <c r="L580" i="12"/>
  <c r="P579" i="12"/>
  <c r="O579" i="12"/>
  <c r="N579" i="12"/>
  <c r="M579" i="12"/>
  <c r="L579" i="12"/>
  <c r="P578" i="12"/>
  <c r="O578" i="12"/>
  <c r="N578" i="12"/>
  <c r="M578" i="12"/>
  <c r="L578" i="12"/>
  <c r="P577" i="12"/>
  <c r="O577" i="12"/>
  <c r="N577" i="12"/>
  <c r="M577" i="12"/>
  <c r="L577" i="12"/>
  <c r="P576" i="12"/>
  <c r="O576" i="12"/>
  <c r="N576" i="12"/>
  <c r="M576" i="12"/>
  <c r="L576" i="12"/>
  <c r="P575" i="12"/>
  <c r="O575" i="12"/>
  <c r="N575" i="12"/>
  <c r="M575" i="12"/>
  <c r="L575" i="12"/>
  <c r="P574" i="12"/>
  <c r="O574" i="12"/>
  <c r="N574" i="12"/>
  <c r="M574" i="12"/>
  <c r="L574" i="12"/>
  <c r="P573" i="12"/>
  <c r="O573" i="12"/>
  <c r="N573" i="12"/>
  <c r="M573" i="12"/>
  <c r="L573" i="12"/>
  <c r="P572" i="12"/>
  <c r="O572" i="12"/>
  <c r="N572" i="12"/>
  <c r="M572" i="12"/>
  <c r="L572" i="12"/>
  <c r="P571" i="12"/>
  <c r="O571" i="12"/>
  <c r="N571" i="12"/>
  <c r="M571" i="12"/>
  <c r="L571" i="12"/>
  <c r="P570" i="12"/>
  <c r="O570" i="12"/>
  <c r="N570" i="12"/>
  <c r="M570" i="12"/>
  <c r="L570" i="12"/>
  <c r="P569" i="12"/>
  <c r="O569" i="12"/>
  <c r="N569" i="12"/>
  <c r="M569" i="12"/>
  <c r="L569" i="12"/>
  <c r="P568" i="12"/>
  <c r="O568" i="12"/>
  <c r="N568" i="12"/>
  <c r="M568" i="12"/>
  <c r="L568" i="12"/>
  <c r="P567" i="12"/>
  <c r="O567" i="12"/>
  <c r="N567" i="12"/>
  <c r="M567" i="12"/>
  <c r="L567" i="12"/>
  <c r="P566" i="12"/>
  <c r="O566" i="12"/>
  <c r="N566" i="12"/>
  <c r="M566" i="12"/>
  <c r="L566" i="12"/>
  <c r="L565" i="12" s="1"/>
  <c r="O564" i="12"/>
  <c r="N564" i="12"/>
  <c r="M564" i="12"/>
  <c r="L564" i="12"/>
  <c r="P563" i="12"/>
  <c r="O563" i="12"/>
  <c r="O562" i="12" s="1"/>
  <c r="N563" i="12"/>
  <c r="M563" i="12"/>
  <c r="L563" i="12"/>
  <c r="P562" i="12"/>
  <c r="N562" i="12"/>
  <c r="N561" i="12"/>
  <c r="M561" i="12"/>
  <c r="L561" i="12"/>
  <c r="N560" i="12"/>
  <c r="M560" i="12"/>
  <c r="L560" i="12"/>
  <c r="N559" i="12"/>
  <c r="M559" i="12"/>
  <c r="L559" i="12"/>
  <c r="N558" i="12"/>
  <c r="M558" i="12"/>
  <c r="L558" i="12"/>
  <c r="N557" i="12"/>
  <c r="M557" i="12"/>
  <c r="L557" i="12"/>
  <c r="N556" i="12"/>
  <c r="M556" i="12"/>
  <c r="L556" i="12"/>
  <c r="N555" i="12"/>
  <c r="M555" i="12"/>
  <c r="L555" i="12"/>
  <c r="N554" i="12"/>
  <c r="M554" i="12"/>
  <c r="L554" i="12"/>
  <c r="N553" i="12"/>
  <c r="M553" i="12"/>
  <c r="L553" i="12"/>
  <c r="N552" i="12"/>
  <c r="M552" i="12"/>
  <c r="L552" i="12"/>
  <c r="N551" i="12"/>
  <c r="M551" i="12"/>
  <c r="L551" i="12"/>
  <c r="N550" i="12"/>
  <c r="M550" i="12"/>
  <c r="L550" i="12"/>
  <c r="N549" i="12"/>
  <c r="M549" i="12"/>
  <c r="L549" i="12"/>
  <c r="N548" i="12"/>
  <c r="M548" i="12"/>
  <c r="L548" i="12"/>
  <c r="N547" i="12"/>
  <c r="M547" i="12"/>
  <c r="L547" i="12"/>
  <c r="N546" i="12"/>
  <c r="M546" i="12"/>
  <c r="L546" i="12"/>
  <c r="N545" i="12"/>
  <c r="M545" i="12"/>
  <c r="L545" i="12"/>
  <c r="N544" i="12"/>
  <c r="M544" i="12"/>
  <c r="L544" i="12"/>
  <c r="N543" i="12"/>
  <c r="M543" i="12"/>
  <c r="L543" i="12"/>
  <c r="N542" i="12"/>
  <c r="M542" i="12"/>
  <c r="L542" i="12"/>
  <c r="N541" i="12"/>
  <c r="M541" i="12"/>
  <c r="L541" i="12"/>
  <c r="N540" i="12"/>
  <c r="M540" i="12"/>
  <c r="L540" i="12"/>
  <c r="N539" i="12"/>
  <c r="M539" i="12"/>
  <c r="L539" i="12"/>
  <c r="N538" i="12"/>
  <c r="M538" i="12"/>
  <c r="L538" i="12"/>
  <c r="L536" i="12" s="1"/>
  <c r="N537" i="12"/>
  <c r="M537" i="12"/>
  <c r="M536" i="12" s="1"/>
  <c r="L537" i="12"/>
  <c r="P536" i="12"/>
  <c r="O536" i="12"/>
  <c r="N536" i="12"/>
  <c r="P529" i="12"/>
  <c r="P528" i="12" s="1"/>
  <c r="O529" i="12"/>
  <c r="O528" i="12" s="1"/>
  <c r="N529" i="12"/>
  <c r="N528" i="12" s="1"/>
  <c r="M529" i="12"/>
  <c r="L529" i="12"/>
  <c r="L528" i="12" s="1"/>
  <c r="M528" i="12"/>
  <c r="P527" i="12"/>
  <c r="O527" i="12"/>
  <c r="N527" i="12"/>
  <c r="M527" i="12"/>
  <c r="L527" i="12"/>
  <c r="P526" i="12"/>
  <c r="O526" i="12"/>
  <c r="N526" i="12"/>
  <c r="M526" i="12"/>
  <c r="L526" i="12"/>
  <c r="P525" i="12"/>
  <c r="O525" i="12"/>
  <c r="N525" i="12"/>
  <c r="M525" i="12"/>
  <c r="L525" i="12"/>
  <c r="P524" i="12"/>
  <c r="O524" i="12"/>
  <c r="N524" i="12"/>
  <c r="M524" i="12"/>
  <c r="L524" i="12"/>
  <c r="P523" i="12"/>
  <c r="O523" i="12"/>
  <c r="N523" i="12"/>
  <c r="M523" i="12"/>
  <c r="L523" i="12"/>
  <c r="P522" i="12"/>
  <c r="O522" i="12"/>
  <c r="N522" i="12"/>
  <c r="M522" i="12"/>
  <c r="L522" i="12"/>
  <c r="P521" i="12"/>
  <c r="O521" i="12"/>
  <c r="N521" i="12"/>
  <c r="M521" i="12"/>
  <c r="L521" i="12"/>
  <c r="P520" i="12"/>
  <c r="O520" i="12"/>
  <c r="N520" i="12"/>
  <c r="M520" i="12"/>
  <c r="L520" i="12"/>
  <c r="P519" i="12"/>
  <c r="O519" i="12"/>
  <c r="N519" i="12"/>
  <c r="M519" i="12"/>
  <c r="L519" i="12"/>
  <c r="P518" i="12"/>
  <c r="O518" i="12"/>
  <c r="N518" i="12"/>
  <c r="M518" i="12"/>
  <c r="L518" i="12"/>
  <c r="P517" i="12"/>
  <c r="O517" i="12"/>
  <c r="N517" i="12"/>
  <c r="M517" i="12"/>
  <c r="L517" i="12"/>
  <c r="P516" i="12"/>
  <c r="O516" i="12"/>
  <c r="N516" i="12"/>
  <c r="M516" i="12"/>
  <c r="L516" i="12"/>
  <c r="P515" i="12"/>
  <c r="O515" i="12"/>
  <c r="N515" i="12"/>
  <c r="M515" i="12"/>
  <c r="L515" i="12"/>
  <c r="P514" i="12"/>
  <c r="O514" i="12"/>
  <c r="N514" i="12"/>
  <c r="M514" i="12"/>
  <c r="L514" i="12"/>
  <c r="P513" i="12"/>
  <c r="O513" i="12"/>
  <c r="N513" i="12"/>
  <c r="M513" i="12"/>
  <c r="L513" i="12"/>
  <c r="P512" i="12"/>
  <c r="O512" i="12"/>
  <c r="N512" i="12"/>
  <c r="M512" i="12"/>
  <c r="L512" i="12"/>
  <c r="P511" i="12"/>
  <c r="O511" i="12"/>
  <c r="N511" i="12"/>
  <c r="M511" i="12"/>
  <c r="L511" i="12"/>
  <c r="P510" i="12"/>
  <c r="O510" i="12"/>
  <c r="N510" i="12"/>
  <c r="M510" i="12"/>
  <c r="L510" i="12"/>
  <c r="P509" i="12"/>
  <c r="O509" i="12"/>
  <c r="N509" i="12"/>
  <c r="M509" i="12"/>
  <c r="L509" i="12"/>
  <c r="P508" i="12"/>
  <c r="O508" i="12"/>
  <c r="N508" i="12"/>
  <c r="M508" i="12"/>
  <c r="L508" i="12"/>
  <c r="P507" i="12"/>
  <c r="O507" i="12"/>
  <c r="N507" i="12"/>
  <c r="M507" i="12"/>
  <c r="L507" i="12"/>
  <c r="P506" i="12"/>
  <c r="O506" i="12"/>
  <c r="N506" i="12"/>
  <c r="M506" i="12"/>
  <c r="L506" i="12"/>
  <c r="P505" i="12"/>
  <c r="O505" i="12"/>
  <c r="N505" i="12"/>
  <c r="M505" i="12"/>
  <c r="L505" i="12"/>
  <c r="P504" i="12"/>
  <c r="O504" i="12"/>
  <c r="N504" i="12"/>
  <c r="M504" i="12"/>
  <c r="L504" i="12"/>
  <c r="P503" i="12"/>
  <c r="O503" i="12"/>
  <c r="N503" i="12"/>
  <c r="M503" i="12"/>
  <c r="L503" i="12"/>
  <c r="P502" i="12"/>
  <c r="O502" i="12"/>
  <c r="N502" i="12"/>
  <c r="M502" i="12"/>
  <c r="L502" i="12"/>
  <c r="P501" i="12"/>
  <c r="O501" i="12"/>
  <c r="N501" i="12"/>
  <c r="M501" i="12"/>
  <c r="L501" i="12"/>
  <c r="P500" i="12"/>
  <c r="O500" i="12"/>
  <c r="N500" i="12"/>
  <c r="M500" i="12"/>
  <c r="L500" i="12"/>
  <c r="P499" i="12"/>
  <c r="O499" i="12"/>
  <c r="N499" i="12"/>
  <c r="M499" i="12"/>
  <c r="L499" i="12"/>
  <c r="P498" i="12"/>
  <c r="O498" i="12"/>
  <c r="N498" i="12"/>
  <c r="M498" i="12"/>
  <c r="L498" i="12"/>
  <c r="P497" i="12"/>
  <c r="O497" i="12"/>
  <c r="N497" i="12"/>
  <c r="M497" i="12"/>
  <c r="L497" i="12"/>
  <c r="P496" i="12"/>
  <c r="O496" i="12"/>
  <c r="N496" i="12"/>
  <c r="M496" i="12"/>
  <c r="L496" i="12"/>
  <c r="P495" i="12"/>
  <c r="O495" i="12"/>
  <c r="N495" i="12"/>
  <c r="M495" i="12"/>
  <c r="L495" i="12"/>
  <c r="P494" i="12"/>
  <c r="O494" i="12"/>
  <c r="N494" i="12"/>
  <c r="M494" i="12"/>
  <c r="L494" i="12"/>
  <c r="P493" i="12"/>
  <c r="O493" i="12"/>
  <c r="N493" i="12"/>
  <c r="M493" i="12"/>
  <c r="L493" i="12"/>
  <c r="P492" i="12"/>
  <c r="O492" i="12"/>
  <c r="N492" i="12"/>
  <c r="M492" i="12"/>
  <c r="L492" i="12"/>
  <c r="P491" i="12"/>
  <c r="O491" i="12"/>
  <c r="N491" i="12"/>
  <c r="M491" i="12"/>
  <c r="L491" i="12"/>
  <c r="P490" i="12"/>
  <c r="O490" i="12"/>
  <c r="N490" i="12"/>
  <c r="M490" i="12"/>
  <c r="L490" i="12"/>
  <c r="P489" i="12"/>
  <c r="O489" i="12"/>
  <c r="N489" i="12"/>
  <c r="M489" i="12"/>
  <c r="L489" i="12"/>
  <c r="P488" i="12"/>
  <c r="O488" i="12"/>
  <c r="N488" i="12"/>
  <c r="M488" i="12"/>
  <c r="L488" i="12"/>
  <c r="P487" i="12"/>
  <c r="O487" i="12"/>
  <c r="N487" i="12"/>
  <c r="M487" i="12"/>
  <c r="L487" i="12"/>
  <c r="P486" i="12"/>
  <c r="O486" i="12"/>
  <c r="N486" i="12"/>
  <c r="M486" i="12"/>
  <c r="L486" i="12"/>
  <c r="P485" i="12"/>
  <c r="O485" i="12"/>
  <c r="N485" i="12"/>
  <c r="M485" i="12"/>
  <c r="L485" i="12"/>
  <c r="P484" i="12"/>
  <c r="O484" i="12"/>
  <c r="N484" i="12"/>
  <c r="M484" i="12"/>
  <c r="L484" i="12"/>
  <c r="P483" i="12"/>
  <c r="O483" i="12"/>
  <c r="N483" i="12"/>
  <c r="M483" i="12"/>
  <c r="L483" i="12"/>
  <c r="P482" i="12"/>
  <c r="O482" i="12"/>
  <c r="N482" i="12"/>
  <c r="M482" i="12"/>
  <c r="L482" i="12"/>
  <c r="P481" i="12"/>
  <c r="O481" i="12"/>
  <c r="N481" i="12"/>
  <c r="M481" i="12"/>
  <c r="L481" i="12"/>
  <c r="P480" i="12"/>
  <c r="O480" i="12"/>
  <c r="N480" i="12"/>
  <c r="M480" i="12"/>
  <c r="L480" i="12"/>
  <c r="P479" i="12"/>
  <c r="O479" i="12"/>
  <c r="N479" i="12"/>
  <c r="M479" i="12"/>
  <c r="L479" i="12"/>
  <c r="P478" i="12"/>
  <c r="O478" i="12"/>
  <c r="N478" i="12"/>
  <c r="M478" i="12"/>
  <c r="L478" i="12"/>
  <c r="P477" i="12"/>
  <c r="O477" i="12"/>
  <c r="N477" i="12"/>
  <c r="M477" i="12"/>
  <c r="L477" i="12"/>
  <c r="P476" i="12"/>
  <c r="O476" i="12"/>
  <c r="N476" i="12"/>
  <c r="M476" i="12"/>
  <c r="L476" i="12"/>
  <c r="P475" i="12"/>
  <c r="O475" i="12"/>
  <c r="N475" i="12"/>
  <c r="M475" i="12"/>
  <c r="L475" i="12"/>
  <c r="P474" i="12"/>
  <c r="O474" i="12"/>
  <c r="N474" i="12"/>
  <c r="M474" i="12"/>
  <c r="L474" i="12"/>
  <c r="P473" i="12"/>
  <c r="O473" i="12"/>
  <c r="N473" i="12"/>
  <c r="M473" i="12"/>
  <c r="L473" i="12"/>
  <c r="P472" i="12"/>
  <c r="O472" i="12"/>
  <c r="N472" i="12"/>
  <c r="M472" i="12"/>
  <c r="L472" i="12"/>
  <c r="P471" i="12"/>
  <c r="O471" i="12"/>
  <c r="N471" i="12"/>
  <c r="M471" i="12"/>
  <c r="L471" i="12"/>
  <c r="P470" i="12"/>
  <c r="O470" i="12"/>
  <c r="N470" i="12"/>
  <c r="M470" i="12"/>
  <c r="L470" i="12"/>
  <c r="P469" i="12"/>
  <c r="O469" i="12"/>
  <c r="N469" i="12"/>
  <c r="M469" i="12"/>
  <c r="L469" i="12"/>
  <c r="P468" i="12"/>
  <c r="O468" i="12"/>
  <c r="N468" i="12"/>
  <c r="M468" i="12"/>
  <c r="L468" i="12"/>
  <c r="P467" i="12"/>
  <c r="O467" i="12"/>
  <c r="N467" i="12"/>
  <c r="M467" i="12"/>
  <c r="L467" i="12"/>
  <c r="P466" i="12"/>
  <c r="O466" i="12"/>
  <c r="N466" i="12"/>
  <c r="M466" i="12"/>
  <c r="L466" i="12"/>
  <c r="P465" i="12"/>
  <c r="P462" i="12" s="1"/>
  <c r="O465" i="12"/>
  <c r="N465" i="12"/>
  <c r="M465" i="12"/>
  <c r="L465" i="12"/>
  <c r="P464" i="12"/>
  <c r="O464" i="12"/>
  <c r="O462" i="12" s="1"/>
  <c r="N464" i="12"/>
  <c r="M464" i="12"/>
  <c r="L464" i="12"/>
  <c r="P463" i="12"/>
  <c r="O463" i="12"/>
  <c r="N463" i="12"/>
  <c r="M463" i="12"/>
  <c r="L463" i="12"/>
  <c r="P461" i="12"/>
  <c r="O461" i="12"/>
  <c r="N461" i="12"/>
  <c r="L461" i="12"/>
  <c r="P460" i="12"/>
  <c r="O460" i="12"/>
  <c r="N460" i="12"/>
  <c r="D460" i="12"/>
  <c r="L460" i="12" s="1"/>
  <c r="P459" i="12"/>
  <c r="O459" i="12"/>
  <c r="N459" i="12"/>
  <c r="D459" i="12"/>
  <c r="L459" i="12" s="1"/>
  <c r="P458" i="12"/>
  <c r="O458" i="12"/>
  <c r="N458" i="12"/>
  <c r="D458" i="12"/>
  <c r="L458" i="12" s="1"/>
  <c r="P457" i="12"/>
  <c r="O457" i="12"/>
  <c r="N457" i="12"/>
  <c r="D457" i="12"/>
  <c r="L457" i="12" s="1"/>
  <c r="P456" i="12"/>
  <c r="O456" i="12"/>
  <c r="N456" i="12"/>
  <c r="D456" i="12"/>
  <c r="L456" i="12" s="1"/>
  <c r="P455" i="12"/>
  <c r="O455" i="12"/>
  <c r="N455" i="12"/>
  <c r="D455" i="12"/>
  <c r="L455" i="12" s="1"/>
  <c r="P454" i="12"/>
  <c r="O454" i="12"/>
  <c r="N454" i="12"/>
  <c r="D454" i="12"/>
  <c r="L454" i="12" s="1"/>
  <c r="P453" i="12"/>
  <c r="O453" i="12"/>
  <c r="N453" i="12"/>
  <c r="D453" i="12"/>
  <c r="L453" i="12" s="1"/>
  <c r="P452" i="12"/>
  <c r="O452" i="12"/>
  <c r="N452" i="12"/>
  <c r="D452" i="12"/>
  <c r="L452" i="12" s="1"/>
  <c r="P451" i="12"/>
  <c r="O451" i="12"/>
  <c r="N451" i="12"/>
  <c r="D451" i="12"/>
  <c r="L451" i="12" s="1"/>
  <c r="P450" i="12"/>
  <c r="O450" i="12"/>
  <c r="N450" i="12"/>
  <c r="L450" i="12"/>
  <c r="D450" i="12"/>
  <c r="P449" i="12"/>
  <c r="O449" i="12"/>
  <c r="N449" i="12"/>
  <c r="D449" i="12"/>
  <c r="L449" i="12" s="1"/>
  <c r="P448" i="12"/>
  <c r="O448" i="12"/>
  <c r="N448" i="12"/>
  <c r="D448" i="12"/>
  <c r="L448" i="12" s="1"/>
  <c r="P447" i="12"/>
  <c r="O447" i="12"/>
  <c r="N447" i="12"/>
  <c r="D447" i="12"/>
  <c r="L447" i="12" s="1"/>
  <c r="P446" i="12"/>
  <c r="O446" i="12"/>
  <c r="N446" i="12"/>
  <c r="D446" i="12"/>
  <c r="L446" i="12" s="1"/>
  <c r="P445" i="12"/>
  <c r="O445" i="12"/>
  <c r="N445" i="12"/>
  <c r="D445" i="12"/>
  <c r="L445" i="12" s="1"/>
  <c r="P444" i="12"/>
  <c r="O444" i="12"/>
  <c r="N444" i="12"/>
  <c r="D444" i="12"/>
  <c r="L444" i="12" s="1"/>
  <c r="P443" i="12"/>
  <c r="O443" i="12"/>
  <c r="N443" i="12"/>
  <c r="D443" i="12"/>
  <c r="L443" i="12" s="1"/>
  <c r="P442" i="12"/>
  <c r="O442" i="12"/>
  <c r="N442" i="12"/>
  <c r="L442" i="12"/>
  <c r="D442" i="12"/>
  <c r="P441" i="12"/>
  <c r="O441" i="12"/>
  <c r="N441" i="12"/>
  <c r="D441" i="12"/>
  <c r="L441" i="12" s="1"/>
  <c r="P440" i="12"/>
  <c r="O440" i="12"/>
  <c r="N440" i="12"/>
  <c r="D440" i="12"/>
  <c r="L440" i="12" s="1"/>
  <c r="P439" i="12"/>
  <c r="O439" i="12"/>
  <c r="N439" i="12"/>
  <c r="D439" i="12"/>
  <c r="L439" i="12" s="1"/>
  <c r="P438" i="12"/>
  <c r="O438" i="12"/>
  <c r="N438" i="12"/>
  <c r="L438" i="12"/>
  <c r="D438" i="12"/>
  <c r="P437" i="12"/>
  <c r="O437" i="12"/>
  <c r="N437" i="12"/>
  <c r="D437" i="12"/>
  <c r="L437" i="12" s="1"/>
  <c r="P436" i="12"/>
  <c r="O436" i="12"/>
  <c r="N436" i="12"/>
  <c r="D436" i="12"/>
  <c r="L436" i="12" s="1"/>
  <c r="P435" i="12"/>
  <c r="O435" i="12"/>
  <c r="N435" i="12"/>
  <c r="D435" i="12"/>
  <c r="L435" i="12" s="1"/>
  <c r="P434" i="12"/>
  <c r="O434" i="12"/>
  <c r="N434" i="12"/>
  <c r="D434" i="12"/>
  <c r="L434" i="12" s="1"/>
  <c r="P433" i="12"/>
  <c r="O433" i="12"/>
  <c r="N433" i="12"/>
  <c r="M433" i="12"/>
  <c r="L433" i="12"/>
  <c r="P431" i="12"/>
  <c r="O431" i="12"/>
  <c r="N431" i="12"/>
  <c r="M431" i="12"/>
  <c r="L431" i="12"/>
  <c r="P430" i="12"/>
  <c r="O430" i="12"/>
  <c r="N430" i="12"/>
  <c r="M430" i="12"/>
  <c r="L430" i="12"/>
  <c r="P429" i="12"/>
  <c r="O429" i="12"/>
  <c r="N429" i="12"/>
  <c r="M429" i="12"/>
  <c r="L429" i="12"/>
  <c r="P428" i="12"/>
  <c r="O428" i="12"/>
  <c r="N428" i="12"/>
  <c r="M428" i="12"/>
  <c r="L428" i="12"/>
  <c r="P427" i="12"/>
  <c r="O427" i="12"/>
  <c r="N427" i="12"/>
  <c r="M427" i="12"/>
  <c r="L427" i="12"/>
  <c r="P426" i="12"/>
  <c r="O426" i="12"/>
  <c r="N426" i="12"/>
  <c r="M426" i="12"/>
  <c r="L426" i="12"/>
  <c r="P425" i="12"/>
  <c r="O425" i="12"/>
  <c r="N425" i="12"/>
  <c r="M425" i="12"/>
  <c r="L425" i="12"/>
  <c r="P424" i="12"/>
  <c r="O424" i="12"/>
  <c r="N424" i="12"/>
  <c r="M424" i="12"/>
  <c r="L424" i="12"/>
  <c r="P423" i="12"/>
  <c r="O423" i="12"/>
  <c r="N423" i="12"/>
  <c r="M423" i="12"/>
  <c r="L423" i="12"/>
  <c r="P422" i="12"/>
  <c r="O422" i="12"/>
  <c r="N422" i="12"/>
  <c r="M422" i="12"/>
  <c r="L422" i="12"/>
  <c r="P421" i="12"/>
  <c r="O421" i="12"/>
  <c r="N421" i="12"/>
  <c r="M421" i="12"/>
  <c r="L421" i="12"/>
  <c r="P420" i="12"/>
  <c r="O420" i="12"/>
  <c r="N420" i="12"/>
  <c r="M420" i="12"/>
  <c r="L420" i="12"/>
  <c r="P419" i="12"/>
  <c r="O419" i="12"/>
  <c r="N419" i="12"/>
  <c r="M419" i="12"/>
  <c r="L419" i="12"/>
  <c r="P418" i="12"/>
  <c r="O418" i="12"/>
  <c r="N418" i="12"/>
  <c r="M418" i="12"/>
  <c r="L418" i="12"/>
  <c r="P417" i="12"/>
  <c r="O417" i="12"/>
  <c r="N417" i="12"/>
  <c r="M417" i="12"/>
  <c r="L417" i="12"/>
  <c r="P416" i="12"/>
  <c r="O416" i="12"/>
  <c r="N416" i="12"/>
  <c r="M416" i="12"/>
  <c r="L416" i="12"/>
  <c r="P415" i="12"/>
  <c r="O415" i="12"/>
  <c r="N415" i="12"/>
  <c r="M415" i="12"/>
  <c r="L415" i="12"/>
  <c r="P414" i="12"/>
  <c r="O414" i="12"/>
  <c r="N414" i="12"/>
  <c r="M414" i="12"/>
  <c r="L414" i="12"/>
  <c r="P413" i="12"/>
  <c r="O413" i="12"/>
  <c r="N413" i="12"/>
  <c r="M413" i="12"/>
  <c r="L413" i="12"/>
  <c r="P412" i="12"/>
  <c r="O412" i="12"/>
  <c r="N412" i="12"/>
  <c r="M412" i="12"/>
  <c r="L412" i="12"/>
  <c r="P411" i="12"/>
  <c r="O411" i="12"/>
  <c r="N411" i="12"/>
  <c r="M411" i="12"/>
  <c r="L411" i="12"/>
  <c r="P410" i="12"/>
  <c r="O410" i="12"/>
  <c r="N410" i="12"/>
  <c r="M410" i="12"/>
  <c r="L410" i="12"/>
  <c r="P409" i="12"/>
  <c r="O409" i="12"/>
  <c r="N409" i="12"/>
  <c r="M409" i="12"/>
  <c r="L409" i="12"/>
  <c r="P408" i="12"/>
  <c r="O408" i="12"/>
  <c r="N408" i="12"/>
  <c r="N406" i="12" s="1"/>
  <c r="M408" i="12"/>
  <c r="L408" i="12"/>
  <c r="P407" i="12"/>
  <c r="P406" i="12" s="1"/>
  <c r="O407" i="12"/>
  <c r="N407" i="12"/>
  <c r="M407" i="12"/>
  <c r="L407" i="12"/>
  <c r="P405" i="12"/>
  <c r="O405" i="12"/>
  <c r="N405" i="12"/>
  <c r="M405" i="12"/>
  <c r="L405" i="12"/>
  <c r="P404" i="12"/>
  <c r="O404" i="12"/>
  <c r="N404" i="12"/>
  <c r="M404" i="12"/>
  <c r="L404" i="12"/>
  <c r="P403" i="12"/>
  <c r="O403" i="12"/>
  <c r="N403" i="12"/>
  <c r="M403" i="12"/>
  <c r="L403" i="12"/>
  <c r="P402" i="12"/>
  <c r="O402" i="12"/>
  <c r="N402" i="12"/>
  <c r="M402" i="12"/>
  <c r="L402" i="12"/>
  <c r="P401" i="12"/>
  <c r="O401" i="12"/>
  <c r="N401" i="12"/>
  <c r="M401" i="12"/>
  <c r="L401" i="12"/>
  <c r="P400" i="12"/>
  <c r="O400" i="12"/>
  <c r="N400" i="12"/>
  <c r="M400" i="12"/>
  <c r="L400" i="12"/>
  <c r="P399" i="12"/>
  <c r="O399" i="12"/>
  <c r="N399" i="12"/>
  <c r="M399" i="12"/>
  <c r="L399" i="12"/>
  <c r="P398" i="12"/>
  <c r="O398" i="12"/>
  <c r="N398" i="12"/>
  <c r="M398" i="12"/>
  <c r="L398" i="12"/>
  <c r="P397" i="12"/>
  <c r="O397" i="12"/>
  <c r="N397" i="12"/>
  <c r="M397" i="12"/>
  <c r="L397" i="12"/>
  <c r="P396" i="12"/>
  <c r="O396" i="12"/>
  <c r="N396" i="12"/>
  <c r="M396" i="12"/>
  <c r="L396" i="12"/>
  <c r="P395" i="12"/>
  <c r="O395" i="12"/>
  <c r="N395" i="12"/>
  <c r="M395" i="12"/>
  <c r="L395" i="12"/>
  <c r="P394" i="12"/>
  <c r="O394" i="12"/>
  <c r="N394" i="12"/>
  <c r="M394" i="12"/>
  <c r="L394" i="12"/>
  <c r="P393" i="12"/>
  <c r="O393" i="12"/>
  <c r="N393" i="12"/>
  <c r="M393" i="12"/>
  <c r="L393" i="12"/>
  <c r="P392" i="12"/>
  <c r="O392" i="12"/>
  <c r="N392" i="12"/>
  <c r="M392" i="12"/>
  <c r="L392" i="12"/>
  <c r="P391" i="12"/>
  <c r="O391" i="12"/>
  <c r="N391" i="12"/>
  <c r="M391" i="12"/>
  <c r="L391" i="12"/>
  <c r="P390" i="12"/>
  <c r="O390" i="12"/>
  <c r="N390" i="12"/>
  <c r="M390" i="12"/>
  <c r="L390" i="12"/>
  <c r="P388" i="12"/>
  <c r="O388" i="12"/>
  <c r="N388" i="12"/>
  <c r="M388" i="12"/>
  <c r="L388" i="12"/>
  <c r="P387" i="12"/>
  <c r="O387" i="12"/>
  <c r="N387" i="12"/>
  <c r="M387" i="12"/>
  <c r="L387" i="12"/>
  <c r="P386" i="12"/>
  <c r="O386" i="12"/>
  <c r="N386" i="12"/>
  <c r="M386" i="12"/>
  <c r="L386" i="12"/>
  <c r="P385" i="12"/>
  <c r="O385" i="12"/>
  <c r="N385" i="12"/>
  <c r="M385" i="12"/>
  <c r="L385" i="12"/>
  <c r="P384" i="12"/>
  <c r="O384" i="12"/>
  <c r="N384" i="12"/>
  <c r="M384" i="12"/>
  <c r="L384" i="12"/>
  <c r="P383" i="12"/>
  <c r="O383" i="12"/>
  <c r="N383" i="12"/>
  <c r="M383" i="12"/>
  <c r="L383" i="12"/>
  <c r="P382" i="12"/>
  <c r="O382" i="12"/>
  <c r="N382" i="12"/>
  <c r="M382" i="12"/>
  <c r="L382" i="12"/>
  <c r="P381" i="12"/>
  <c r="O381" i="12"/>
  <c r="N381" i="12"/>
  <c r="M381" i="12"/>
  <c r="L381" i="12"/>
  <c r="P380" i="12"/>
  <c r="O380" i="12"/>
  <c r="N380" i="12"/>
  <c r="M380" i="12"/>
  <c r="L380" i="12"/>
  <c r="P378" i="12"/>
  <c r="O378" i="12"/>
  <c r="N378" i="12"/>
  <c r="M378" i="12"/>
  <c r="L378" i="12"/>
  <c r="P377" i="12"/>
  <c r="O377" i="12"/>
  <c r="N377" i="12"/>
  <c r="M377" i="12"/>
  <c r="L377" i="12"/>
  <c r="P376" i="12"/>
  <c r="O376" i="12"/>
  <c r="N376" i="12"/>
  <c r="M376" i="12"/>
  <c r="L376" i="12"/>
  <c r="P375" i="12"/>
  <c r="O375" i="12"/>
  <c r="N375" i="12"/>
  <c r="M375" i="12"/>
  <c r="L375" i="12"/>
  <c r="P374" i="12"/>
  <c r="O374" i="12"/>
  <c r="N374" i="12"/>
  <c r="M374" i="12"/>
  <c r="L374" i="12"/>
  <c r="P373" i="12"/>
  <c r="O373" i="12"/>
  <c r="N373" i="12"/>
  <c r="M373" i="12"/>
  <c r="L373" i="12"/>
  <c r="P372" i="12"/>
  <c r="O372" i="12"/>
  <c r="N372" i="12"/>
  <c r="M372" i="12"/>
  <c r="L372" i="12"/>
  <c r="P371" i="12"/>
  <c r="O371" i="12"/>
  <c r="N371" i="12"/>
  <c r="M371" i="12"/>
  <c r="L371" i="12"/>
  <c r="P370" i="12"/>
  <c r="O370" i="12"/>
  <c r="N370" i="12"/>
  <c r="M370" i="12"/>
  <c r="L370" i="12"/>
  <c r="P369" i="12"/>
  <c r="O369" i="12"/>
  <c r="N369" i="12"/>
  <c r="M369" i="12"/>
  <c r="L369" i="12"/>
  <c r="P368" i="12"/>
  <c r="O368" i="12"/>
  <c r="N368" i="12"/>
  <c r="M368" i="12"/>
  <c r="L368" i="12"/>
  <c r="P367" i="12"/>
  <c r="O367" i="12"/>
  <c r="N367" i="12"/>
  <c r="M367" i="12"/>
  <c r="L367" i="12"/>
  <c r="P366" i="12"/>
  <c r="O366" i="12"/>
  <c r="N366" i="12"/>
  <c r="M366" i="12"/>
  <c r="L366" i="12"/>
  <c r="P365" i="12"/>
  <c r="O365" i="12"/>
  <c r="N365" i="12"/>
  <c r="M365" i="12"/>
  <c r="L365" i="12"/>
  <c r="P364" i="12"/>
  <c r="O364" i="12"/>
  <c r="N364" i="12"/>
  <c r="M364" i="12"/>
  <c r="L364" i="12"/>
  <c r="P363" i="12"/>
  <c r="O363" i="12"/>
  <c r="N363" i="12"/>
  <c r="M363" i="12"/>
  <c r="L363" i="12"/>
  <c r="P362" i="12"/>
  <c r="O362" i="12"/>
  <c r="N362" i="12"/>
  <c r="M362" i="12"/>
  <c r="L362" i="12"/>
  <c r="P361" i="12"/>
  <c r="O361" i="12"/>
  <c r="N361" i="12"/>
  <c r="M361" i="12"/>
  <c r="L361" i="12"/>
  <c r="P360" i="12"/>
  <c r="O360" i="12"/>
  <c r="N360" i="12"/>
  <c r="M360" i="12"/>
  <c r="L360" i="12"/>
  <c r="P359" i="12"/>
  <c r="O359" i="12"/>
  <c r="N359" i="12"/>
  <c r="M359" i="12"/>
  <c r="L359" i="12"/>
  <c r="P358" i="12"/>
  <c r="O358" i="12"/>
  <c r="N358" i="12"/>
  <c r="M358" i="12"/>
  <c r="L358" i="12"/>
  <c r="P357" i="12"/>
  <c r="O357" i="12"/>
  <c r="N357" i="12"/>
  <c r="M357" i="12"/>
  <c r="L357" i="12"/>
  <c r="P356" i="12"/>
  <c r="O356" i="12"/>
  <c r="N356" i="12"/>
  <c r="M356" i="12"/>
  <c r="L356" i="12"/>
  <c r="P355" i="12"/>
  <c r="O355" i="12"/>
  <c r="N355" i="12"/>
  <c r="M355" i="12"/>
  <c r="L355" i="12"/>
  <c r="P354" i="12"/>
  <c r="O354" i="12"/>
  <c r="N354" i="12"/>
  <c r="M354" i="12"/>
  <c r="L354" i="12"/>
  <c r="P353" i="12"/>
  <c r="O353" i="12"/>
  <c r="N353" i="12"/>
  <c r="M353" i="12"/>
  <c r="L353" i="12"/>
  <c r="P352" i="12"/>
  <c r="O352" i="12"/>
  <c r="N352" i="12"/>
  <c r="M352" i="12"/>
  <c r="L352" i="12"/>
  <c r="P351" i="12"/>
  <c r="O351" i="12"/>
  <c r="N351" i="12"/>
  <c r="M351" i="12"/>
  <c r="L351" i="12"/>
  <c r="P350" i="12"/>
  <c r="O350" i="12"/>
  <c r="N350" i="12"/>
  <c r="M350" i="12"/>
  <c r="L350" i="12"/>
  <c r="P349" i="12"/>
  <c r="O349" i="12"/>
  <c r="N349" i="12"/>
  <c r="M349" i="12"/>
  <c r="L349" i="12"/>
  <c r="P348" i="12"/>
  <c r="O348" i="12"/>
  <c r="N348" i="12"/>
  <c r="M348" i="12"/>
  <c r="L348" i="12"/>
  <c r="P347" i="12"/>
  <c r="O347" i="12"/>
  <c r="N347" i="12"/>
  <c r="M347" i="12"/>
  <c r="L347" i="12"/>
  <c r="P346" i="12"/>
  <c r="O346" i="12"/>
  <c r="N346" i="12"/>
  <c r="M346" i="12"/>
  <c r="L346" i="12"/>
  <c r="P345" i="12"/>
  <c r="O345" i="12"/>
  <c r="N345" i="12"/>
  <c r="M345" i="12"/>
  <c r="L345" i="12"/>
  <c r="P344" i="12"/>
  <c r="O344" i="12"/>
  <c r="N344" i="12"/>
  <c r="M344" i="12"/>
  <c r="L344" i="12"/>
  <c r="P343" i="12"/>
  <c r="O343" i="12"/>
  <c r="N343" i="12"/>
  <c r="M343" i="12"/>
  <c r="L343" i="12"/>
  <c r="P342" i="12"/>
  <c r="O342" i="12"/>
  <c r="N342" i="12"/>
  <c r="M342" i="12"/>
  <c r="L342" i="12"/>
  <c r="P341" i="12"/>
  <c r="O341" i="12"/>
  <c r="N341" i="12"/>
  <c r="M341" i="12"/>
  <c r="L341" i="12"/>
  <c r="P340" i="12"/>
  <c r="O340" i="12"/>
  <c r="N340" i="12"/>
  <c r="M340" i="12"/>
  <c r="L340" i="12"/>
  <c r="P339" i="12"/>
  <c r="O339" i="12"/>
  <c r="N339" i="12"/>
  <c r="M339" i="12"/>
  <c r="L339" i="12"/>
  <c r="P338" i="12"/>
  <c r="O338" i="12"/>
  <c r="N338" i="12"/>
  <c r="M338" i="12"/>
  <c r="L338" i="12"/>
  <c r="P337" i="12"/>
  <c r="O337" i="12"/>
  <c r="N337" i="12"/>
  <c r="M337" i="12"/>
  <c r="L337" i="12"/>
  <c r="P336" i="12"/>
  <c r="O336" i="12"/>
  <c r="N336" i="12"/>
  <c r="M336" i="12"/>
  <c r="L336" i="12"/>
  <c r="P335" i="12"/>
  <c r="O335" i="12"/>
  <c r="N335" i="12"/>
  <c r="M335" i="12"/>
  <c r="L335" i="12"/>
  <c r="P334" i="12"/>
  <c r="O334" i="12"/>
  <c r="N334" i="12"/>
  <c r="M334" i="12"/>
  <c r="L334" i="12"/>
  <c r="P333" i="12"/>
  <c r="O333" i="12"/>
  <c r="N333" i="12"/>
  <c r="M333" i="12"/>
  <c r="L333" i="12"/>
  <c r="P332" i="12"/>
  <c r="O332" i="12"/>
  <c r="N332" i="12"/>
  <c r="M332" i="12"/>
  <c r="L332" i="12"/>
  <c r="P331" i="12"/>
  <c r="O331" i="12"/>
  <c r="N331" i="12"/>
  <c r="M331" i="12"/>
  <c r="L331" i="12"/>
  <c r="P330" i="12"/>
  <c r="O330" i="12"/>
  <c r="N330" i="12"/>
  <c r="M330" i="12"/>
  <c r="L330" i="12"/>
  <c r="P329" i="12"/>
  <c r="O329" i="12"/>
  <c r="N329" i="12"/>
  <c r="M329" i="12"/>
  <c r="L329" i="12"/>
  <c r="P328" i="12"/>
  <c r="O328" i="12"/>
  <c r="N328" i="12"/>
  <c r="M328" i="12"/>
  <c r="L328" i="12"/>
  <c r="P327" i="12"/>
  <c r="O327" i="12"/>
  <c r="N327" i="12"/>
  <c r="M327" i="12"/>
  <c r="L327" i="12"/>
  <c r="P326" i="12"/>
  <c r="O326" i="12"/>
  <c r="N326" i="12"/>
  <c r="M326" i="12"/>
  <c r="L326" i="12"/>
  <c r="P324" i="12"/>
  <c r="O324" i="12"/>
  <c r="N324" i="12"/>
  <c r="M324" i="12"/>
  <c r="L324" i="12"/>
  <c r="P323" i="12"/>
  <c r="O323" i="12"/>
  <c r="N323" i="12"/>
  <c r="M323" i="12"/>
  <c r="L323" i="12"/>
  <c r="P322" i="12"/>
  <c r="O322" i="12"/>
  <c r="N322" i="12"/>
  <c r="M322" i="12"/>
  <c r="L322" i="12"/>
  <c r="P321" i="12"/>
  <c r="O321" i="12"/>
  <c r="N321" i="12"/>
  <c r="M321" i="12"/>
  <c r="L321" i="12"/>
  <c r="P320" i="12"/>
  <c r="O320" i="12"/>
  <c r="N320" i="12"/>
  <c r="M320" i="12"/>
  <c r="L320" i="12"/>
  <c r="P319" i="12"/>
  <c r="O319" i="12"/>
  <c r="N319" i="12"/>
  <c r="M319" i="12"/>
  <c r="L319" i="12"/>
  <c r="P318" i="12"/>
  <c r="O318" i="12"/>
  <c r="N318" i="12"/>
  <c r="M318" i="12"/>
  <c r="L318" i="12"/>
  <c r="P317" i="12"/>
  <c r="O317" i="12"/>
  <c r="N317" i="12"/>
  <c r="M317" i="12"/>
  <c r="L317" i="12"/>
  <c r="P316" i="12"/>
  <c r="O316" i="12"/>
  <c r="N316" i="12"/>
  <c r="M316" i="12"/>
  <c r="L316" i="12"/>
  <c r="P315" i="12"/>
  <c r="O315" i="12"/>
  <c r="N315" i="12"/>
  <c r="M315" i="12"/>
  <c r="L315" i="12"/>
  <c r="P314" i="12"/>
  <c r="O314" i="12"/>
  <c r="N314" i="12"/>
  <c r="M314" i="12"/>
  <c r="L314" i="12"/>
  <c r="P313" i="12"/>
  <c r="O313" i="12"/>
  <c r="N313" i="12"/>
  <c r="M313" i="12"/>
  <c r="L313" i="12"/>
  <c r="P312" i="12"/>
  <c r="O312" i="12"/>
  <c r="N312" i="12"/>
  <c r="N309" i="12" s="1"/>
  <c r="M312" i="12"/>
  <c r="L312" i="12"/>
  <c r="P311" i="12"/>
  <c r="O311" i="12"/>
  <c r="N311" i="12"/>
  <c r="M311" i="12"/>
  <c r="L311" i="12"/>
  <c r="P310" i="12"/>
  <c r="O310" i="12"/>
  <c r="N310" i="12"/>
  <c r="M310" i="12"/>
  <c r="M309" i="12" s="1"/>
  <c r="L310" i="12"/>
  <c r="P308" i="12"/>
  <c r="O308" i="12"/>
  <c r="N308" i="12"/>
  <c r="M308" i="12"/>
  <c r="L308" i="12"/>
  <c r="P307" i="12"/>
  <c r="O307" i="12"/>
  <c r="N307" i="12"/>
  <c r="M307" i="12"/>
  <c r="L307" i="12"/>
  <c r="P306" i="12"/>
  <c r="O306" i="12"/>
  <c r="N306" i="12"/>
  <c r="M306" i="12"/>
  <c r="L306" i="12"/>
  <c r="P305" i="12"/>
  <c r="O305" i="12"/>
  <c r="N305" i="12"/>
  <c r="M305" i="12"/>
  <c r="L305" i="12"/>
  <c r="P304" i="12"/>
  <c r="O304" i="12"/>
  <c r="N304" i="12"/>
  <c r="M304" i="12"/>
  <c r="L304" i="12"/>
  <c r="P303" i="12"/>
  <c r="O303" i="12"/>
  <c r="N303" i="12"/>
  <c r="M303" i="12"/>
  <c r="L303" i="12"/>
  <c r="P302" i="12"/>
  <c r="O302" i="12"/>
  <c r="N302" i="12"/>
  <c r="M302" i="12"/>
  <c r="L302" i="12"/>
  <c r="P301" i="12"/>
  <c r="O301" i="12"/>
  <c r="N301" i="12"/>
  <c r="M301" i="12"/>
  <c r="L301" i="12"/>
  <c r="P300" i="12"/>
  <c r="O300" i="12"/>
  <c r="N300" i="12"/>
  <c r="M300" i="12"/>
  <c r="L300" i="12"/>
  <c r="P299" i="12"/>
  <c r="O299" i="12"/>
  <c r="N299" i="12"/>
  <c r="M299" i="12"/>
  <c r="L299" i="12"/>
  <c r="P298" i="12"/>
  <c r="O298" i="12"/>
  <c r="N298" i="12"/>
  <c r="M298" i="12"/>
  <c r="L298" i="12"/>
  <c r="P297" i="12"/>
  <c r="O297" i="12"/>
  <c r="N297" i="12"/>
  <c r="M297" i="12"/>
  <c r="L297" i="12"/>
  <c r="P296" i="12"/>
  <c r="O296" i="12"/>
  <c r="N296" i="12"/>
  <c r="M296" i="12"/>
  <c r="L296" i="12"/>
  <c r="P295" i="12"/>
  <c r="O295" i="12"/>
  <c r="N295" i="12"/>
  <c r="M295" i="12"/>
  <c r="L295" i="12"/>
  <c r="P294" i="12"/>
  <c r="O294" i="12"/>
  <c r="N294" i="12"/>
  <c r="M294" i="12"/>
  <c r="L294" i="12"/>
  <c r="P293" i="12"/>
  <c r="O293" i="12"/>
  <c r="N293" i="12"/>
  <c r="M293" i="12"/>
  <c r="L293" i="12"/>
  <c r="P292" i="12"/>
  <c r="O292" i="12"/>
  <c r="N292" i="12"/>
  <c r="M292" i="12"/>
  <c r="L292" i="12"/>
  <c r="P291" i="12"/>
  <c r="O291" i="12"/>
  <c r="N291" i="12"/>
  <c r="M291" i="12"/>
  <c r="L291" i="12"/>
  <c r="P290" i="12"/>
  <c r="O290" i="12"/>
  <c r="N290" i="12"/>
  <c r="M290" i="12"/>
  <c r="L290" i="12"/>
  <c r="P289" i="12"/>
  <c r="O289" i="12"/>
  <c r="N289" i="12"/>
  <c r="M289" i="12"/>
  <c r="L289" i="12"/>
  <c r="P288" i="12"/>
  <c r="P287" i="12" s="1"/>
  <c r="O288" i="12"/>
  <c r="N288" i="12"/>
  <c r="M288" i="12"/>
  <c r="L288" i="12"/>
  <c r="P286" i="12"/>
  <c r="O286" i="12"/>
  <c r="N286" i="12"/>
  <c r="M286" i="12"/>
  <c r="L286" i="12"/>
  <c r="P285" i="12"/>
  <c r="O285" i="12"/>
  <c r="N285" i="12"/>
  <c r="M285" i="12"/>
  <c r="L285" i="12"/>
  <c r="P284" i="12"/>
  <c r="O284" i="12"/>
  <c r="N284" i="12"/>
  <c r="M284" i="12"/>
  <c r="L284" i="12"/>
  <c r="P283" i="12"/>
  <c r="O283" i="12"/>
  <c r="N283" i="12"/>
  <c r="M283" i="12"/>
  <c r="L283" i="12"/>
  <c r="P282" i="12"/>
  <c r="O282" i="12"/>
  <c r="N282" i="12"/>
  <c r="M282" i="12"/>
  <c r="L282" i="12"/>
  <c r="P281" i="12"/>
  <c r="O281" i="12"/>
  <c r="N281" i="12"/>
  <c r="M281" i="12"/>
  <c r="L281" i="12"/>
  <c r="P280" i="12"/>
  <c r="O280" i="12"/>
  <c r="N280" i="12"/>
  <c r="M280" i="12"/>
  <c r="L280" i="12"/>
  <c r="P279" i="12"/>
  <c r="O279" i="12"/>
  <c r="N279" i="12"/>
  <c r="M279" i="12"/>
  <c r="L279" i="12"/>
  <c r="P278" i="12"/>
  <c r="O278" i="12"/>
  <c r="N278" i="12"/>
  <c r="M278" i="12"/>
  <c r="L278" i="12"/>
  <c r="P277" i="12"/>
  <c r="O277" i="12"/>
  <c r="N277" i="12"/>
  <c r="M277" i="12"/>
  <c r="L277" i="12"/>
  <c r="P276" i="12"/>
  <c r="O276" i="12"/>
  <c r="N276" i="12"/>
  <c r="M276" i="12"/>
  <c r="L276" i="12"/>
  <c r="P275" i="12"/>
  <c r="O275" i="12"/>
  <c r="N275" i="12"/>
  <c r="M275" i="12"/>
  <c r="L275" i="12"/>
  <c r="P274" i="12"/>
  <c r="O274" i="12"/>
  <c r="N274" i="12"/>
  <c r="M274" i="12"/>
  <c r="L274" i="12"/>
  <c r="P273" i="12"/>
  <c r="O273" i="12"/>
  <c r="N273" i="12"/>
  <c r="M273" i="12"/>
  <c r="L273" i="12"/>
  <c r="P272" i="12"/>
  <c r="O272" i="12"/>
  <c r="N272" i="12"/>
  <c r="M272" i="12"/>
  <c r="L272" i="12"/>
  <c r="P271" i="12"/>
  <c r="O271" i="12"/>
  <c r="N271" i="12"/>
  <c r="M271" i="12"/>
  <c r="L271" i="12"/>
  <c r="P270" i="12"/>
  <c r="O270" i="12"/>
  <c r="N270" i="12"/>
  <c r="M270" i="12"/>
  <c r="L270" i="12"/>
  <c r="P269" i="12"/>
  <c r="O269" i="12"/>
  <c r="N269" i="12"/>
  <c r="M269" i="12"/>
  <c r="L269" i="12"/>
  <c r="P268" i="12"/>
  <c r="O268" i="12"/>
  <c r="N268" i="12"/>
  <c r="M268" i="12"/>
  <c r="L268" i="12"/>
  <c r="P267" i="12"/>
  <c r="O267" i="12"/>
  <c r="N267" i="12"/>
  <c r="M267" i="12"/>
  <c r="L267" i="12"/>
  <c r="P266" i="12"/>
  <c r="O266" i="12"/>
  <c r="N266" i="12"/>
  <c r="M266" i="12"/>
  <c r="L266" i="12"/>
  <c r="P265" i="12"/>
  <c r="O265" i="12"/>
  <c r="N265" i="12"/>
  <c r="M265" i="12"/>
  <c r="L265" i="12"/>
  <c r="P263" i="12"/>
  <c r="O263" i="12"/>
  <c r="N263" i="12"/>
  <c r="M263" i="12"/>
  <c r="L263" i="12"/>
  <c r="P262" i="12"/>
  <c r="O262" i="12"/>
  <c r="N262" i="12"/>
  <c r="M262" i="12"/>
  <c r="L262" i="12"/>
  <c r="P261" i="12"/>
  <c r="O261" i="12"/>
  <c r="N261" i="12"/>
  <c r="M261" i="12"/>
  <c r="L261" i="12"/>
  <c r="P260" i="12"/>
  <c r="O260" i="12"/>
  <c r="N260" i="12"/>
  <c r="M260" i="12"/>
  <c r="L260" i="12"/>
  <c r="P259" i="12"/>
  <c r="O259" i="12"/>
  <c r="N259" i="12"/>
  <c r="M259" i="12"/>
  <c r="L259" i="12"/>
  <c r="P258" i="12"/>
  <c r="O258" i="12"/>
  <c r="N258" i="12"/>
  <c r="M258" i="12"/>
  <c r="L258" i="12"/>
  <c r="P257" i="12"/>
  <c r="O257" i="12"/>
  <c r="N257" i="12"/>
  <c r="M257" i="12"/>
  <c r="L257" i="12"/>
  <c r="P256" i="12"/>
  <c r="O256" i="12"/>
  <c r="N256" i="12"/>
  <c r="M256" i="12"/>
  <c r="L256" i="12"/>
  <c r="P255" i="12"/>
  <c r="O255" i="12"/>
  <c r="N255" i="12"/>
  <c r="M255" i="12"/>
  <c r="L255" i="12"/>
  <c r="P254" i="12"/>
  <c r="O254" i="12"/>
  <c r="N254" i="12"/>
  <c r="M254" i="12"/>
  <c r="L254" i="12"/>
  <c r="P253" i="12"/>
  <c r="O253" i="12"/>
  <c r="N253" i="12"/>
  <c r="M253" i="12"/>
  <c r="L253" i="12"/>
  <c r="P252" i="12"/>
  <c r="O252" i="12"/>
  <c r="N252" i="12"/>
  <c r="M252" i="12"/>
  <c r="L252" i="12"/>
  <c r="P251" i="12"/>
  <c r="O251" i="12"/>
  <c r="N251" i="12"/>
  <c r="M251" i="12"/>
  <c r="L251" i="12"/>
  <c r="P250" i="12"/>
  <c r="O250" i="12"/>
  <c r="N250" i="12"/>
  <c r="M250" i="12"/>
  <c r="L250" i="12"/>
  <c r="P249" i="12"/>
  <c r="O249" i="12"/>
  <c r="N249" i="12"/>
  <c r="M249" i="12"/>
  <c r="L249" i="12"/>
  <c r="P248" i="12"/>
  <c r="O248" i="12"/>
  <c r="N248" i="12"/>
  <c r="M248" i="12"/>
  <c r="L248" i="12"/>
  <c r="P247" i="12"/>
  <c r="O247" i="12"/>
  <c r="N247" i="12"/>
  <c r="M247" i="12"/>
  <c r="L247" i="12"/>
  <c r="P246" i="12"/>
  <c r="O246" i="12"/>
  <c r="N246" i="12"/>
  <c r="M246" i="12"/>
  <c r="L246" i="12"/>
  <c r="P245" i="12"/>
  <c r="O245" i="12"/>
  <c r="N245" i="12"/>
  <c r="M245" i="12"/>
  <c r="L245" i="12"/>
  <c r="P244" i="12"/>
  <c r="O244" i="12"/>
  <c r="N244" i="12"/>
  <c r="M244" i="12"/>
  <c r="L244" i="12"/>
  <c r="P243" i="12"/>
  <c r="O243" i="12"/>
  <c r="N243" i="12"/>
  <c r="M243" i="12"/>
  <c r="L243" i="12"/>
  <c r="P242" i="12"/>
  <c r="O242" i="12"/>
  <c r="N242" i="12"/>
  <c r="M242" i="12"/>
  <c r="L242" i="12"/>
  <c r="P241" i="12"/>
  <c r="O241" i="12"/>
  <c r="N241" i="12"/>
  <c r="M241" i="12"/>
  <c r="L241" i="12"/>
  <c r="P240" i="12"/>
  <c r="O240" i="12"/>
  <c r="N240" i="12"/>
  <c r="M240" i="12"/>
  <c r="L240" i="12"/>
  <c r="P239" i="12"/>
  <c r="O239" i="12"/>
  <c r="N239" i="12"/>
  <c r="M239" i="12"/>
  <c r="L239" i="12"/>
  <c r="P238" i="12"/>
  <c r="O238" i="12"/>
  <c r="N238" i="12"/>
  <c r="M238" i="12"/>
  <c r="L238" i="12"/>
  <c r="P237" i="12"/>
  <c r="O237" i="12"/>
  <c r="N237" i="12"/>
  <c r="M237" i="12"/>
  <c r="L237" i="12"/>
  <c r="P236" i="12"/>
  <c r="O236" i="12"/>
  <c r="N236" i="12"/>
  <c r="M236" i="12"/>
  <c r="L236" i="12"/>
  <c r="P235" i="12"/>
  <c r="O235" i="12"/>
  <c r="N235" i="12"/>
  <c r="M235" i="12"/>
  <c r="L235" i="12"/>
  <c r="P234" i="12"/>
  <c r="O234" i="12"/>
  <c r="N234" i="12"/>
  <c r="M234" i="12"/>
  <c r="L234" i="12"/>
  <c r="P233" i="12"/>
  <c r="O233" i="12"/>
  <c r="N233" i="12"/>
  <c r="M233" i="12"/>
  <c r="L233" i="12"/>
  <c r="P232" i="12"/>
  <c r="O232" i="12"/>
  <c r="N232" i="12"/>
  <c r="M232" i="12"/>
  <c r="L232" i="12"/>
  <c r="P231" i="12"/>
  <c r="O231" i="12"/>
  <c r="N231" i="12"/>
  <c r="M231" i="12"/>
  <c r="L231" i="12"/>
  <c r="P230" i="12"/>
  <c r="O230" i="12"/>
  <c r="N230" i="12"/>
  <c r="M230" i="12"/>
  <c r="L230" i="12"/>
  <c r="P229" i="12"/>
  <c r="O229" i="12"/>
  <c r="N229" i="12"/>
  <c r="M229" i="12"/>
  <c r="L229" i="12"/>
  <c r="P228" i="12"/>
  <c r="O228" i="12"/>
  <c r="N228" i="12"/>
  <c r="M228" i="12"/>
  <c r="L228" i="12"/>
  <c r="P227" i="12"/>
  <c r="O227" i="12"/>
  <c r="N227" i="12"/>
  <c r="M227" i="12"/>
  <c r="L227" i="12"/>
  <c r="P226" i="12"/>
  <c r="O226" i="12"/>
  <c r="N226" i="12"/>
  <c r="M226" i="12"/>
  <c r="L226" i="12"/>
  <c r="P225" i="12"/>
  <c r="O225" i="12"/>
  <c r="N225" i="12"/>
  <c r="M225" i="12"/>
  <c r="L225" i="12"/>
  <c r="P224" i="12"/>
  <c r="O224" i="12"/>
  <c r="N224" i="12"/>
  <c r="M224" i="12"/>
  <c r="L224" i="12"/>
  <c r="P223" i="12"/>
  <c r="O223" i="12"/>
  <c r="N223" i="12"/>
  <c r="M223" i="12"/>
  <c r="L223" i="12"/>
  <c r="P222" i="12"/>
  <c r="O222" i="12"/>
  <c r="N222" i="12"/>
  <c r="M222" i="12"/>
  <c r="L222" i="12"/>
  <c r="P221" i="12"/>
  <c r="O221" i="12"/>
  <c r="N221" i="12"/>
  <c r="M221" i="12"/>
  <c r="L221" i="12"/>
  <c r="P220" i="12"/>
  <c r="O220" i="12"/>
  <c r="N220" i="12"/>
  <c r="M220" i="12"/>
  <c r="L220" i="12"/>
  <c r="P219" i="12"/>
  <c r="O219" i="12"/>
  <c r="N219" i="12"/>
  <c r="M219" i="12"/>
  <c r="L219" i="12"/>
  <c r="P218" i="12"/>
  <c r="O218" i="12"/>
  <c r="N218" i="12"/>
  <c r="M218" i="12"/>
  <c r="L218" i="12"/>
  <c r="P217" i="12"/>
  <c r="O217" i="12"/>
  <c r="N217" i="12"/>
  <c r="M217" i="12"/>
  <c r="L217" i="12"/>
  <c r="P216" i="12"/>
  <c r="O216" i="12"/>
  <c r="N216" i="12"/>
  <c r="M216" i="12"/>
  <c r="L216" i="12"/>
  <c r="P215" i="12"/>
  <c r="O215" i="12"/>
  <c r="N215" i="12"/>
  <c r="M215" i="12"/>
  <c r="L215" i="12"/>
  <c r="P214" i="12"/>
  <c r="O214" i="12"/>
  <c r="N214" i="12"/>
  <c r="M214" i="12"/>
  <c r="L214" i="12"/>
  <c r="P213" i="12"/>
  <c r="O213" i="12"/>
  <c r="N213" i="12"/>
  <c r="M213" i="12"/>
  <c r="L213" i="12"/>
  <c r="P212" i="12"/>
  <c r="O212" i="12"/>
  <c r="N212" i="12"/>
  <c r="M212" i="12"/>
  <c r="L212" i="12"/>
  <c r="P211" i="12"/>
  <c r="O211" i="12"/>
  <c r="N211" i="12"/>
  <c r="M211" i="12"/>
  <c r="L211" i="12"/>
  <c r="P210" i="12"/>
  <c r="O210" i="12"/>
  <c r="N210" i="12"/>
  <c r="M210" i="12"/>
  <c r="L210" i="12"/>
  <c r="P209" i="12"/>
  <c r="O209" i="12"/>
  <c r="N209" i="12"/>
  <c r="M209" i="12"/>
  <c r="L209" i="12"/>
  <c r="P208" i="12"/>
  <c r="O208" i="12"/>
  <c r="N208" i="12"/>
  <c r="M208" i="12"/>
  <c r="L208" i="12"/>
  <c r="P207" i="12"/>
  <c r="O207" i="12"/>
  <c r="N207" i="12"/>
  <c r="M207" i="12"/>
  <c r="L207" i="12"/>
  <c r="P206" i="12"/>
  <c r="O206" i="12"/>
  <c r="N206" i="12"/>
  <c r="M206" i="12"/>
  <c r="L206" i="12"/>
  <c r="P205" i="12"/>
  <c r="O205" i="12"/>
  <c r="N205" i="12"/>
  <c r="M205" i="12"/>
  <c r="L205" i="12"/>
  <c r="P204" i="12"/>
  <c r="O204" i="12"/>
  <c r="N204" i="12"/>
  <c r="M204" i="12"/>
  <c r="L204" i="12"/>
  <c r="P203" i="12"/>
  <c r="O203" i="12"/>
  <c r="N203" i="12"/>
  <c r="M203" i="12"/>
  <c r="L203" i="12"/>
  <c r="P202" i="12"/>
  <c r="O202" i="12"/>
  <c r="N202" i="12"/>
  <c r="M202" i="12"/>
  <c r="L202" i="12"/>
  <c r="P201" i="12"/>
  <c r="O201" i="12"/>
  <c r="N201" i="12"/>
  <c r="M201" i="12"/>
  <c r="L201" i="12"/>
  <c r="P200" i="12"/>
  <c r="O200" i="12"/>
  <c r="N200" i="12"/>
  <c r="M200" i="12"/>
  <c r="L200" i="12"/>
  <c r="P199" i="12"/>
  <c r="O199" i="12"/>
  <c r="N199" i="12"/>
  <c r="M199" i="12"/>
  <c r="L199" i="12"/>
  <c r="P198" i="12"/>
  <c r="O198" i="12"/>
  <c r="N198" i="12"/>
  <c r="M198" i="12"/>
  <c r="L198" i="12"/>
  <c r="P197" i="12"/>
  <c r="O197" i="12"/>
  <c r="N197" i="12"/>
  <c r="M197" i="12"/>
  <c r="L197" i="12"/>
  <c r="P196" i="12"/>
  <c r="O196" i="12"/>
  <c r="N196" i="12"/>
  <c r="M196" i="12"/>
  <c r="L196" i="12"/>
  <c r="P195" i="12"/>
  <c r="O195" i="12"/>
  <c r="N195" i="12"/>
  <c r="M195" i="12"/>
  <c r="L195" i="12"/>
  <c r="P194" i="12"/>
  <c r="O194" i="12"/>
  <c r="N194" i="12"/>
  <c r="M194" i="12"/>
  <c r="L194" i="12"/>
  <c r="P193" i="12"/>
  <c r="O193" i="12"/>
  <c r="N193" i="12"/>
  <c r="M193" i="12"/>
  <c r="L193" i="12"/>
  <c r="P192" i="12"/>
  <c r="O192" i="12"/>
  <c r="N192" i="12"/>
  <c r="M192" i="12"/>
  <c r="L192" i="12"/>
  <c r="L187" i="12" s="1"/>
  <c r="P191" i="12"/>
  <c r="O191" i="12"/>
  <c r="N191" i="12"/>
  <c r="M191" i="12"/>
  <c r="L191" i="12"/>
  <c r="P190" i="12"/>
  <c r="O190" i="12"/>
  <c r="N190" i="12"/>
  <c r="M190" i="12"/>
  <c r="L190" i="12"/>
  <c r="P189" i="12"/>
  <c r="O189" i="12"/>
  <c r="N189" i="12"/>
  <c r="M189" i="12"/>
  <c r="L189" i="12"/>
  <c r="P188" i="12"/>
  <c r="O188" i="12"/>
  <c r="N188" i="12"/>
  <c r="M188" i="12"/>
  <c r="L188" i="12"/>
  <c r="P186" i="12"/>
  <c r="O186" i="12"/>
  <c r="N186" i="12"/>
  <c r="M186" i="12"/>
  <c r="L186" i="12"/>
  <c r="P185" i="12"/>
  <c r="O185" i="12"/>
  <c r="N185" i="12"/>
  <c r="M185" i="12"/>
  <c r="L185" i="12"/>
  <c r="P184" i="12"/>
  <c r="O184" i="12"/>
  <c r="N184" i="12"/>
  <c r="M184" i="12"/>
  <c r="L184" i="12"/>
  <c r="P183" i="12"/>
  <c r="O183" i="12"/>
  <c r="N183" i="12"/>
  <c r="M183" i="12"/>
  <c r="L183" i="12"/>
  <c r="P182" i="12"/>
  <c r="O182" i="12"/>
  <c r="N182" i="12"/>
  <c r="M182" i="12"/>
  <c r="L182" i="12"/>
  <c r="P181" i="12"/>
  <c r="O181" i="12"/>
  <c r="N181" i="12"/>
  <c r="M181" i="12"/>
  <c r="L181" i="12"/>
  <c r="P180" i="12"/>
  <c r="O180" i="12"/>
  <c r="N180" i="12"/>
  <c r="M180" i="12"/>
  <c r="L180" i="12"/>
  <c r="P179" i="12"/>
  <c r="O179" i="12"/>
  <c r="N179" i="12"/>
  <c r="M179" i="12"/>
  <c r="L179" i="12"/>
  <c r="P178" i="12"/>
  <c r="O178" i="12"/>
  <c r="N178" i="12"/>
  <c r="M178" i="12"/>
  <c r="L178" i="12"/>
  <c r="P177" i="12"/>
  <c r="O177" i="12"/>
  <c r="N177" i="12"/>
  <c r="M177" i="12"/>
  <c r="L177" i="12"/>
  <c r="P176" i="12"/>
  <c r="O176" i="12"/>
  <c r="N176" i="12"/>
  <c r="M176" i="12"/>
  <c r="L176" i="12"/>
  <c r="P175" i="12"/>
  <c r="O175" i="12"/>
  <c r="N175" i="12"/>
  <c r="M175" i="12"/>
  <c r="L175" i="12"/>
  <c r="P174" i="12"/>
  <c r="O174" i="12"/>
  <c r="N174" i="12"/>
  <c r="M174" i="12"/>
  <c r="L174" i="12"/>
  <c r="P173" i="12"/>
  <c r="O173" i="12"/>
  <c r="N173" i="12"/>
  <c r="M173" i="12"/>
  <c r="L173" i="12"/>
  <c r="P172" i="12"/>
  <c r="O172" i="12"/>
  <c r="N172" i="12"/>
  <c r="M172" i="12"/>
  <c r="L172" i="12"/>
  <c r="P171" i="12"/>
  <c r="O171" i="12"/>
  <c r="N171" i="12"/>
  <c r="M171" i="12"/>
  <c r="L171" i="12"/>
  <c r="O170" i="12"/>
  <c r="P169" i="12"/>
  <c r="O169" i="12"/>
  <c r="N169" i="12"/>
  <c r="M169" i="12"/>
  <c r="L169" i="12"/>
  <c r="P168" i="12"/>
  <c r="O168" i="12"/>
  <c r="N168" i="12"/>
  <c r="M168" i="12"/>
  <c r="L168" i="12"/>
  <c r="P167" i="12"/>
  <c r="O167" i="12"/>
  <c r="N167" i="12"/>
  <c r="M167" i="12"/>
  <c r="L167" i="12"/>
  <c r="P166" i="12"/>
  <c r="O166" i="12"/>
  <c r="N166" i="12"/>
  <c r="M166" i="12"/>
  <c r="L166" i="12"/>
  <c r="P165" i="12"/>
  <c r="O165" i="12"/>
  <c r="N165" i="12"/>
  <c r="M165" i="12"/>
  <c r="L165" i="12"/>
  <c r="P164" i="12"/>
  <c r="O164" i="12"/>
  <c r="N164" i="12"/>
  <c r="M164" i="12"/>
  <c r="L164" i="12"/>
  <c r="P163" i="12"/>
  <c r="O163" i="12"/>
  <c r="N163" i="12"/>
  <c r="M163" i="12"/>
  <c r="L163" i="12"/>
  <c r="P162" i="12"/>
  <c r="O162" i="12"/>
  <c r="N162" i="12"/>
  <c r="M162" i="12"/>
  <c r="L162" i="12"/>
  <c r="P161" i="12"/>
  <c r="O161" i="12"/>
  <c r="N161" i="12"/>
  <c r="M161" i="12"/>
  <c r="L161" i="12"/>
  <c r="P160" i="12"/>
  <c r="O160" i="12"/>
  <c r="N160" i="12"/>
  <c r="M160" i="12"/>
  <c r="L160" i="12"/>
  <c r="P159" i="12"/>
  <c r="O159" i="12"/>
  <c r="N159" i="12"/>
  <c r="M159" i="12"/>
  <c r="L159" i="12"/>
  <c r="P158" i="12"/>
  <c r="O158" i="12"/>
  <c r="N158" i="12"/>
  <c r="M158" i="12"/>
  <c r="L158" i="12"/>
  <c r="P157" i="12"/>
  <c r="O157" i="12"/>
  <c r="N157" i="12"/>
  <c r="M157" i="12"/>
  <c r="L157" i="12"/>
  <c r="P156" i="12"/>
  <c r="O156" i="12"/>
  <c r="N156" i="12"/>
  <c r="M156" i="12"/>
  <c r="L156" i="12"/>
  <c r="P155" i="12"/>
  <c r="O155" i="12"/>
  <c r="N155" i="12"/>
  <c r="M155" i="12"/>
  <c r="L155" i="12"/>
  <c r="P154" i="12"/>
  <c r="O154" i="12"/>
  <c r="N154" i="12"/>
  <c r="M154" i="12"/>
  <c r="L154" i="12"/>
  <c r="P153" i="12"/>
  <c r="O153" i="12"/>
  <c r="N153" i="12"/>
  <c r="M153" i="12"/>
  <c r="L153" i="12"/>
  <c r="P152" i="12"/>
  <c r="O152" i="12"/>
  <c r="N152" i="12"/>
  <c r="M152" i="12"/>
  <c r="L152" i="12"/>
  <c r="P151" i="12"/>
  <c r="O151" i="12"/>
  <c r="N151" i="12"/>
  <c r="M151" i="12"/>
  <c r="L151" i="12"/>
  <c r="P150" i="12"/>
  <c r="O150" i="12"/>
  <c r="N150" i="12"/>
  <c r="M150" i="12"/>
  <c r="L150" i="12"/>
  <c r="P149" i="12"/>
  <c r="O149" i="12"/>
  <c r="N149" i="12"/>
  <c r="M149" i="12"/>
  <c r="L149" i="12"/>
  <c r="P148" i="12"/>
  <c r="O148" i="12"/>
  <c r="N148" i="12"/>
  <c r="M148" i="12"/>
  <c r="L148" i="12"/>
  <c r="P147" i="12"/>
  <c r="O147" i="12"/>
  <c r="N147" i="12"/>
  <c r="M147" i="12"/>
  <c r="L147" i="12"/>
  <c r="P146" i="12"/>
  <c r="O146" i="12"/>
  <c r="N146" i="12"/>
  <c r="M146" i="12"/>
  <c r="L146" i="12"/>
  <c r="P145" i="12"/>
  <c r="O145" i="12"/>
  <c r="N145" i="12"/>
  <c r="M145" i="12"/>
  <c r="L145" i="12"/>
  <c r="P144" i="12"/>
  <c r="O144" i="12"/>
  <c r="N144" i="12"/>
  <c r="M144" i="12"/>
  <c r="L144" i="12"/>
  <c r="P143" i="12"/>
  <c r="O143" i="12"/>
  <c r="N143" i="12"/>
  <c r="M143" i="12"/>
  <c r="L143" i="12"/>
  <c r="P142" i="12"/>
  <c r="O142" i="12"/>
  <c r="N142" i="12"/>
  <c r="M142" i="12"/>
  <c r="L142" i="12"/>
  <c r="P141" i="12"/>
  <c r="O141" i="12"/>
  <c r="N141" i="12"/>
  <c r="M141" i="12"/>
  <c r="L141" i="12"/>
  <c r="P140" i="12"/>
  <c r="O140" i="12"/>
  <c r="N140" i="12"/>
  <c r="M140" i="12"/>
  <c r="L140" i="12"/>
  <c r="P139" i="12"/>
  <c r="O139" i="12"/>
  <c r="N139" i="12"/>
  <c r="M139" i="12"/>
  <c r="L139" i="12"/>
  <c r="P138" i="12"/>
  <c r="O138" i="12"/>
  <c r="N138" i="12"/>
  <c r="M138" i="12"/>
  <c r="L138" i="12"/>
  <c r="P137" i="12"/>
  <c r="O137" i="12"/>
  <c r="N137" i="12"/>
  <c r="M137" i="12"/>
  <c r="L137" i="12"/>
  <c r="P136" i="12"/>
  <c r="O136" i="12"/>
  <c r="N136" i="12"/>
  <c r="M136" i="12"/>
  <c r="L136" i="12"/>
  <c r="P135" i="12"/>
  <c r="O135" i="12"/>
  <c r="N135" i="12"/>
  <c r="M135" i="12"/>
  <c r="L135" i="12"/>
  <c r="P134" i="12"/>
  <c r="O134" i="12"/>
  <c r="N134" i="12"/>
  <c r="M134" i="12"/>
  <c r="L134" i="12"/>
  <c r="P133" i="12"/>
  <c r="O133" i="12"/>
  <c r="N133" i="12"/>
  <c r="M133" i="12"/>
  <c r="L133" i="12"/>
  <c r="P132" i="12"/>
  <c r="O132" i="12"/>
  <c r="N132" i="12"/>
  <c r="M132" i="12"/>
  <c r="L132" i="12"/>
  <c r="P131" i="12"/>
  <c r="O131" i="12"/>
  <c r="N131" i="12"/>
  <c r="M131" i="12"/>
  <c r="L131" i="12"/>
  <c r="P130" i="12"/>
  <c r="O130" i="12"/>
  <c r="N130" i="12"/>
  <c r="M130" i="12"/>
  <c r="L130" i="12"/>
  <c r="P129" i="12"/>
  <c r="O129" i="12"/>
  <c r="N129" i="12"/>
  <c r="M129" i="12"/>
  <c r="L129" i="12"/>
  <c r="P128" i="12"/>
  <c r="O128" i="12"/>
  <c r="N128" i="12"/>
  <c r="M128" i="12"/>
  <c r="L128" i="12"/>
  <c r="P127" i="12"/>
  <c r="O127" i="12"/>
  <c r="N127" i="12"/>
  <c r="M127" i="12"/>
  <c r="L127" i="12"/>
  <c r="P126" i="12"/>
  <c r="O126" i="12"/>
  <c r="N126" i="12"/>
  <c r="M126" i="12"/>
  <c r="L126" i="12"/>
  <c r="P125" i="12"/>
  <c r="O125" i="12"/>
  <c r="N125" i="12"/>
  <c r="M125" i="12"/>
  <c r="L125" i="12"/>
  <c r="P124" i="12"/>
  <c r="O124" i="12"/>
  <c r="N124" i="12"/>
  <c r="M124" i="12"/>
  <c r="L124" i="12"/>
  <c r="P123" i="12"/>
  <c r="O123" i="12"/>
  <c r="N123" i="12"/>
  <c r="M123" i="12"/>
  <c r="L123" i="12"/>
  <c r="P122" i="12"/>
  <c r="O122" i="12"/>
  <c r="N122" i="12"/>
  <c r="M122" i="12"/>
  <c r="L122" i="12"/>
  <c r="P121" i="12"/>
  <c r="O121" i="12"/>
  <c r="N121" i="12"/>
  <c r="M121" i="12"/>
  <c r="L121" i="12"/>
  <c r="P120" i="12"/>
  <c r="O120" i="12"/>
  <c r="N120" i="12"/>
  <c r="M120" i="12"/>
  <c r="L120" i="12"/>
  <c r="P119" i="12"/>
  <c r="O119" i="12"/>
  <c r="N119" i="12"/>
  <c r="M119" i="12"/>
  <c r="L119" i="12"/>
  <c r="P118" i="12"/>
  <c r="O118" i="12"/>
  <c r="N118" i="12"/>
  <c r="M118" i="12"/>
  <c r="L118" i="12"/>
  <c r="P117" i="12"/>
  <c r="O117" i="12"/>
  <c r="N117" i="12"/>
  <c r="M117" i="12"/>
  <c r="L117" i="12"/>
  <c r="P116" i="12"/>
  <c r="O116" i="12"/>
  <c r="N116" i="12"/>
  <c r="M116" i="12"/>
  <c r="L116" i="12"/>
  <c r="P115" i="12"/>
  <c r="O115" i="12"/>
  <c r="N115" i="12"/>
  <c r="M115" i="12"/>
  <c r="L115" i="12"/>
  <c r="P114" i="12"/>
  <c r="O114" i="12"/>
  <c r="N114" i="12"/>
  <c r="M114" i="12"/>
  <c r="L114" i="12"/>
  <c r="P113" i="12"/>
  <c r="O113" i="12"/>
  <c r="N113" i="12"/>
  <c r="M113" i="12"/>
  <c r="L113" i="12"/>
  <c r="P112" i="12"/>
  <c r="O112" i="12"/>
  <c r="N112" i="12"/>
  <c r="M112" i="12"/>
  <c r="L112" i="12"/>
  <c r="P111" i="12"/>
  <c r="O111" i="12"/>
  <c r="N111" i="12"/>
  <c r="M111" i="12"/>
  <c r="L111" i="12"/>
  <c r="P110" i="12"/>
  <c r="O110" i="12"/>
  <c r="N110" i="12"/>
  <c r="M110" i="12"/>
  <c r="L110" i="12"/>
  <c r="P109" i="12"/>
  <c r="O109" i="12"/>
  <c r="N109" i="12"/>
  <c r="M109" i="12"/>
  <c r="L109" i="12"/>
  <c r="P108" i="12"/>
  <c r="O108" i="12"/>
  <c r="N108" i="12"/>
  <c r="M108" i="12"/>
  <c r="L108" i="12"/>
  <c r="P107" i="12"/>
  <c r="O107" i="12"/>
  <c r="N107" i="12"/>
  <c r="M107" i="12"/>
  <c r="L107" i="12"/>
  <c r="P106" i="12"/>
  <c r="O106" i="12"/>
  <c r="N106" i="12"/>
  <c r="M106" i="12"/>
  <c r="L106" i="12"/>
  <c r="P105" i="12"/>
  <c r="O105" i="12"/>
  <c r="N105" i="12"/>
  <c r="M105" i="12"/>
  <c r="L105" i="12"/>
  <c r="P104" i="12"/>
  <c r="O104" i="12"/>
  <c r="N104" i="12"/>
  <c r="M104" i="12"/>
  <c r="L104" i="12"/>
  <c r="P103" i="12"/>
  <c r="O103" i="12"/>
  <c r="N103" i="12"/>
  <c r="M103" i="12"/>
  <c r="L103" i="12"/>
  <c r="P102" i="12"/>
  <c r="O102" i="12"/>
  <c r="N102" i="12"/>
  <c r="M102" i="12"/>
  <c r="L102" i="12"/>
  <c r="P101" i="12"/>
  <c r="O101" i="12"/>
  <c r="N101" i="12"/>
  <c r="M101" i="12"/>
  <c r="L101" i="12"/>
  <c r="P100" i="12"/>
  <c r="O100" i="12"/>
  <c r="N100" i="12"/>
  <c r="M100" i="12"/>
  <c r="L100" i="12"/>
  <c r="P99" i="12"/>
  <c r="O99" i="12"/>
  <c r="N99" i="12"/>
  <c r="M99" i="12"/>
  <c r="L99" i="12"/>
  <c r="P98" i="12"/>
  <c r="O98" i="12"/>
  <c r="N98" i="12"/>
  <c r="M98" i="12"/>
  <c r="L98" i="12"/>
  <c r="P97" i="12"/>
  <c r="O97" i="12"/>
  <c r="N97" i="12"/>
  <c r="M97" i="12"/>
  <c r="L97" i="12"/>
  <c r="P96" i="12"/>
  <c r="O96" i="12"/>
  <c r="N96" i="12"/>
  <c r="M96" i="12"/>
  <c r="L96" i="12"/>
  <c r="P95" i="12"/>
  <c r="O95" i="12"/>
  <c r="N95" i="12"/>
  <c r="M95" i="12"/>
  <c r="L95" i="12"/>
  <c r="P94" i="12"/>
  <c r="O94" i="12"/>
  <c r="N94" i="12"/>
  <c r="M94" i="12"/>
  <c r="L94" i="12"/>
  <c r="P93" i="12"/>
  <c r="O93" i="12"/>
  <c r="N93" i="12"/>
  <c r="M93" i="12"/>
  <c r="L93" i="12"/>
  <c r="P92" i="12"/>
  <c r="O92" i="12"/>
  <c r="N92" i="12"/>
  <c r="M92" i="12"/>
  <c r="L92" i="12"/>
  <c r="P91" i="12"/>
  <c r="O91" i="12"/>
  <c r="N91" i="12"/>
  <c r="M91" i="12"/>
  <c r="L91" i="12"/>
  <c r="P90" i="12"/>
  <c r="O90" i="12"/>
  <c r="N90" i="12"/>
  <c r="M90" i="12"/>
  <c r="L90" i="12"/>
  <c r="P89" i="12"/>
  <c r="O89" i="12"/>
  <c r="N89" i="12"/>
  <c r="M89" i="12"/>
  <c r="L89" i="12"/>
  <c r="P88" i="12"/>
  <c r="O88" i="12"/>
  <c r="N88" i="12"/>
  <c r="M88" i="12"/>
  <c r="L88" i="12"/>
  <c r="P87" i="12"/>
  <c r="O87" i="12"/>
  <c r="N87" i="12"/>
  <c r="M87" i="12"/>
  <c r="L87" i="12"/>
  <c r="P86" i="12"/>
  <c r="O86" i="12"/>
  <c r="N86" i="12"/>
  <c r="M86" i="12"/>
  <c r="L86" i="12"/>
  <c r="P85" i="12"/>
  <c r="O85" i="12"/>
  <c r="N85" i="12"/>
  <c r="M85" i="12"/>
  <c r="L85" i="12"/>
  <c r="P84" i="12"/>
  <c r="O84" i="12"/>
  <c r="N84" i="12"/>
  <c r="M84" i="12"/>
  <c r="L84" i="12"/>
  <c r="P83" i="12"/>
  <c r="O83" i="12"/>
  <c r="N83" i="12"/>
  <c r="M83" i="12"/>
  <c r="L83" i="12"/>
  <c r="P82" i="12"/>
  <c r="O82" i="12"/>
  <c r="N82" i="12"/>
  <c r="M82" i="12"/>
  <c r="L82" i="12"/>
  <c r="P81" i="12"/>
  <c r="O81" i="12"/>
  <c r="N81" i="12"/>
  <c r="M81" i="12"/>
  <c r="L81" i="12"/>
  <c r="P80" i="12"/>
  <c r="O80" i="12"/>
  <c r="N80" i="12"/>
  <c r="M80" i="12"/>
  <c r="L80" i="12"/>
  <c r="P79" i="12"/>
  <c r="O79" i="12"/>
  <c r="N79" i="12"/>
  <c r="M79" i="12"/>
  <c r="L79" i="12"/>
  <c r="P78" i="12"/>
  <c r="O78" i="12"/>
  <c r="N78" i="12"/>
  <c r="M78" i="12"/>
  <c r="L78" i="12"/>
  <c r="P77" i="12"/>
  <c r="O77" i="12"/>
  <c r="N77" i="12"/>
  <c r="M77" i="12"/>
  <c r="L77" i="12"/>
  <c r="P76" i="12"/>
  <c r="O76" i="12"/>
  <c r="N76" i="12"/>
  <c r="M76" i="12"/>
  <c r="L76" i="12"/>
  <c r="P75" i="12"/>
  <c r="O75" i="12"/>
  <c r="N75" i="12"/>
  <c r="M75" i="12"/>
  <c r="L75" i="12"/>
  <c r="P74" i="12"/>
  <c r="O74" i="12"/>
  <c r="N74" i="12"/>
  <c r="M74" i="12"/>
  <c r="L74" i="12"/>
  <c r="P73" i="12"/>
  <c r="O73" i="12"/>
  <c r="N73" i="12"/>
  <c r="M73" i="12"/>
  <c r="L73" i="12"/>
  <c r="P72" i="12"/>
  <c r="O72" i="12"/>
  <c r="N72" i="12"/>
  <c r="M72" i="12"/>
  <c r="L72" i="12"/>
  <c r="P71" i="12"/>
  <c r="O71" i="12"/>
  <c r="N71" i="12"/>
  <c r="M71" i="12"/>
  <c r="L71" i="12"/>
  <c r="P70" i="12"/>
  <c r="O70" i="12"/>
  <c r="N70" i="12"/>
  <c r="M70" i="12"/>
  <c r="L70" i="12"/>
  <c r="P69" i="12"/>
  <c r="O69" i="12"/>
  <c r="N69" i="12"/>
  <c r="M69" i="12"/>
  <c r="L69" i="12"/>
  <c r="P68" i="12"/>
  <c r="O68" i="12"/>
  <c r="N68" i="12"/>
  <c r="M68" i="12"/>
  <c r="L68" i="12"/>
  <c r="P67" i="12"/>
  <c r="O67" i="12"/>
  <c r="N67" i="12"/>
  <c r="M67" i="12"/>
  <c r="L67" i="12"/>
  <c r="P66" i="12"/>
  <c r="O66" i="12"/>
  <c r="N66" i="12"/>
  <c r="M66" i="12"/>
  <c r="L66" i="12"/>
  <c r="P65" i="12"/>
  <c r="O65" i="12"/>
  <c r="N65" i="12"/>
  <c r="M65" i="12"/>
  <c r="L65" i="12"/>
  <c r="P64" i="12"/>
  <c r="O64" i="12"/>
  <c r="N64" i="12"/>
  <c r="M64" i="12"/>
  <c r="L64" i="12"/>
  <c r="P63" i="12"/>
  <c r="O63" i="12"/>
  <c r="N63" i="12"/>
  <c r="M63" i="12"/>
  <c r="L63" i="12"/>
  <c r="P62" i="12"/>
  <c r="O62" i="12"/>
  <c r="N62" i="12"/>
  <c r="M62" i="12"/>
  <c r="L62" i="12"/>
  <c r="P61" i="12"/>
  <c r="O61" i="12"/>
  <c r="N61" i="12"/>
  <c r="M61" i="12"/>
  <c r="L61" i="12"/>
  <c r="P60" i="12"/>
  <c r="O60" i="12"/>
  <c r="N60" i="12"/>
  <c r="M60" i="12"/>
  <c r="L60" i="12"/>
  <c r="P59" i="12"/>
  <c r="O59" i="12"/>
  <c r="N59" i="12"/>
  <c r="M59" i="12"/>
  <c r="L59" i="12"/>
  <c r="P58" i="12"/>
  <c r="O58" i="12"/>
  <c r="N58" i="12"/>
  <c r="M58" i="12"/>
  <c r="L58" i="12"/>
  <c r="P57" i="12"/>
  <c r="O57" i="12"/>
  <c r="N57" i="12"/>
  <c r="M57" i="12"/>
  <c r="L57" i="12"/>
  <c r="P56" i="12"/>
  <c r="O56" i="12"/>
  <c r="N56" i="12"/>
  <c r="M56" i="12"/>
  <c r="L56" i="12"/>
  <c r="P55" i="12"/>
  <c r="O55" i="12"/>
  <c r="N55" i="12"/>
  <c r="M55" i="12"/>
  <c r="L55" i="12"/>
  <c r="P54" i="12"/>
  <c r="O54" i="12"/>
  <c r="N54" i="12"/>
  <c r="M54" i="12"/>
  <c r="L54" i="12"/>
  <c r="P53" i="12"/>
  <c r="O53" i="12"/>
  <c r="N53" i="12"/>
  <c r="M53" i="12"/>
  <c r="L53" i="12"/>
  <c r="P52" i="12"/>
  <c r="O52" i="12"/>
  <c r="N52" i="12"/>
  <c r="M52" i="12"/>
  <c r="L52" i="12"/>
  <c r="P51" i="12"/>
  <c r="O51" i="12"/>
  <c r="N51" i="12"/>
  <c r="M51" i="12"/>
  <c r="L51" i="12"/>
  <c r="P50" i="12"/>
  <c r="O50" i="12"/>
  <c r="N50" i="12"/>
  <c r="M50" i="12"/>
  <c r="L50" i="12"/>
  <c r="P49" i="12"/>
  <c r="O49" i="12"/>
  <c r="N49" i="12"/>
  <c r="M49" i="12"/>
  <c r="L49" i="12"/>
  <c r="P48" i="12"/>
  <c r="O48" i="12"/>
  <c r="N48" i="12"/>
  <c r="M48" i="12"/>
  <c r="L48" i="12"/>
  <c r="P47" i="12"/>
  <c r="O47" i="12"/>
  <c r="N47" i="12"/>
  <c r="M47" i="12"/>
  <c r="L47" i="12"/>
  <c r="P46" i="12"/>
  <c r="O46" i="12"/>
  <c r="N46" i="12"/>
  <c r="M46" i="12"/>
  <c r="L46" i="12"/>
  <c r="P45" i="12"/>
  <c r="O45" i="12"/>
  <c r="N45" i="12"/>
  <c r="M45" i="12"/>
  <c r="L45" i="12"/>
  <c r="P44" i="12"/>
  <c r="O44" i="12"/>
  <c r="N44" i="12"/>
  <c r="M44" i="12"/>
  <c r="L44" i="12"/>
  <c r="P43" i="12"/>
  <c r="O43" i="12"/>
  <c r="N43" i="12"/>
  <c r="M43" i="12"/>
  <c r="L43" i="12"/>
  <c r="P42" i="12"/>
  <c r="O42" i="12"/>
  <c r="N42" i="12"/>
  <c r="M42" i="12"/>
  <c r="L42" i="12"/>
  <c r="P41" i="12"/>
  <c r="O41" i="12"/>
  <c r="N41" i="12"/>
  <c r="M41" i="12"/>
  <c r="L41" i="12"/>
  <c r="P40" i="12"/>
  <c r="O40" i="12"/>
  <c r="N40" i="12"/>
  <c r="M40" i="12"/>
  <c r="L40" i="12"/>
  <c r="P39" i="12"/>
  <c r="O39" i="12"/>
  <c r="N39" i="12"/>
  <c r="M39" i="12"/>
  <c r="L39" i="12"/>
  <c r="P38" i="12"/>
  <c r="O38" i="12"/>
  <c r="N38" i="12"/>
  <c r="M38" i="12"/>
  <c r="L38" i="12"/>
  <c r="P37" i="12"/>
  <c r="O37" i="12"/>
  <c r="N37" i="12"/>
  <c r="M37" i="12"/>
  <c r="L37" i="12"/>
  <c r="P36" i="12"/>
  <c r="O36" i="12"/>
  <c r="N36" i="12"/>
  <c r="M36" i="12"/>
  <c r="L36" i="12"/>
  <c r="P35" i="12"/>
  <c r="O35" i="12"/>
  <c r="N35" i="12"/>
  <c r="M35" i="12"/>
  <c r="L35" i="12"/>
  <c r="P34" i="12"/>
  <c r="O34" i="12"/>
  <c r="N34" i="12"/>
  <c r="M34" i="12"/>
  <c r="L34" i="12"/>
  <c r="P32" i="12"/>
  <c r="O32" i="12"/>
  <c r="N32" i="12"/>
  <c r="M32" i="12"/>
  <c r="D32" i="12"/>
  <c r="L32" i="12" s="1"/>
  <c r="P31" i="12"/>
  <c r="O31" i="12"/>
  <c r="N31" i="12"/>
  <c r="M31" i="12"/>
  <c r="D31" i="12"/>
  <c r="L31" i="12" s="1"/>
  <c r="P30" i="12"/>
  <c r="O30" i="12"/>
  <c r="N30" i="12"/>
  <c r="M30" i="12"/>
  <c r="D30" i="12"/>
  <c r="L30" i="12" s="1"/>
  <c r="P29" i="12"/>
  <c r="O29" i="12"/>
  <c r="N29" i="12"/>
  <c r="M29" i="12"/>
  <c r="D29" i="12"/>
  <c r="L29" i="12" s="1"/>
  <c r="P28" i="12"/>
  <c r="O28" i="12"/>
  <c r="N28" i="12"/>
  <c r="M28" i="12"/>
  <c r="D28" i="12"/>
  <c r="L28" i="12" s="1"/>
  <c r="P27" i="12"/>
  <c r="O27" i="12"/>
  <c r="N27" i="12"/>
  <c r="M27" i="12"/>
  <c r="D27" i="12"/>
  <c r="L27" i="12" s="1"/>
  <c r="P26" i="12"/>
  <c r="O26" i="12"/>
  <c r="N26" i="12"/>
  <c r="M26" i="12"/>
  <c r="D26" i="12"/>
  <c r="L26" i="12" s="1"/>
  <c r="P25" i="12"/>
  <c r="O25" i="12"/>
  <c r="N25" i="12"/>
  <c r="M25" i="12"/>
  <c r="D25" i="12"/>
  <c r="L25" i="12" s="1"/>
  <c r="P24" i="12"/>
  <c r="O24" i="12"/>
  <c r="N24" i="12"/>
  <c r="M24" i="12"/>
  <c r="D24" i="12"/>
  <c r="L24" i="12" s="1"/>
  <c r="P23" i="12"/>
  <c r="O23" i="12"/>
  <c r="N23" i="12"/>
  <c r="M23" i="12"/>
  <c r="D23" i="12"/>
  <c r="L23" i="12" s="1"/>
  <c r="P22" i="12"/>
  <c r="O22" i="12"/>
  <c r="N22" i="12"/>
  <c r="M22" i="12"/>
  <c r="D22" i="12"/>
  <c r="L22" i="12" s="1"/>
  <c r="P21" i="12"/>
  <c r="O21" i="12"/>
  <c r="N21" i="12"/>
  <c r="N19" i="12" s="1"/>
  <c r="M21" i="12"/>
  <c r="L21" i="12"/>
  <c r="P20" i="12"/>
  <c r="O20" i="12"/>
  <c r="N20" i="12"/>
  <c r="M20" i="12"/>
  <c r="M19" i="12" s="1"/>
  <c r="L20" i="12"/>
  <c r="P18" i="12"/>
  <c r="O18" i="12"/>
  <c r="N18" i="12"/>
  <c r="M18" i="12"/>
  <c r="L18" i="12"/>
  <c r="D18" i="12"/>
  <c r="P17" i="12"/>
  <c r="O17" i="12"/>
  <c r="N17" i="12"/>
  <c r="M17" i="12"/>
  <c r="L17" i="12"/>
  <c r="D17" i="12"/>
  <c r="P16" i="12"/>
  <c r="O16" i="12"/>
  <c r="N16" i="12"/>
  <c r="M16" i="12"/>
  <c r="L16" i="12"/>
  <c r="D16" i="12"/>
  <c r="P15" i="12"/>
  <c r="O15" i="12"/>
  <c r="N15" i="12"/>
  <c r="M15" i="12"/>
  <c r="L15" i="12"/>
  <c r="D15" i="12"/>
  <c r="P14" i="12"/>
  <c r="O14" i="12"/>
  <c r="N14" i="12"/>
  <c r="M14" i="12"/>
  <c r="L14" i="12"/>
  <c r="D14" i="12"/>
  <c r="P13" i="12"/>
  <c r="O13" i="12"/>
  <c r="N13" i="12"/>
  <c r="M13" i="12"/>
  <c r="L13" i="12"/>
  <c r="D13" i="12"/>
  <c r="P12" i="12"/>
  <c r="O12" i="12"/>
  <c r="N12" i="12"/>
  <c r="M12" i="12"/>
  <c r="L12" i="12"/>
  <c r="D12" i="12"/>
  <c r="P11" i="12"/>
  <c r="O11" i="12"/>
  <c r="N11" i="12"/>
  <c r="M11" i="12"/>
  <c r="L11" i="12"/>
  <c r="P10" i="12"/>
  <c r="O10" i="12"/>
  <c r="N10" i="12"/>
  <c r="M10" i="12"/>
  <c r="L10" i="12"/>
  <c r="P9" i="12"/>
  <c r="O9" i="12"/>
  <c r="N9" i="12"/>
  <c r="M9" i="12"/>
  <c r="D9" i="12"/>
  <c r="L9" i="12" s="1"/>
  <c r="P8" i="12"/>
  <c r="O8" i="12"/>
  <c r="N8" i="12"/>
  <c r="M8" i="12"/>
  <c r="L8" i="12"/>
  <c r="P7" i="12"/>
  <c r="O7" i="12"/>
  <c r="N7" i="12"/>
  <c r="N6" i="12" s="1"/>
  <c r="M7" i="12"/>
  <c r="D7" i="12"/>
  <c r="L7" i="12" s="1"/>
  <c r="P5" i="12"/>
  <c r="O5" i="12"/>
  <c r="N5" i="12"/>
  <c r="N3" i="12" s="1"/>
  <c r="M5" i="12"/>
  <c r="L5" i="12"/>
  <c r="P4" i="12"/>
  <c r="P3" i="12" s="1"/>
  <c r="O4" i="12"/>
  <c r="O3" i="12" s="1"/>
  <c r="N4" i="12"/>
  <c r="M4" i="12"/>
  <c r="L4" i="12"/>
  <c r="L3" i="12" s="1"/>
  <c r="M287" i="12" l="1"/>
  <c r="N389" i="12"/>
  <c r="P19" i="12"/>
  <c r="N170" i="12"/>
  <c r="O389" i="12"/>
  <c r="N462" i="12"/>
  <c r="O565" i="12"/>
  <c r="O6" i="12"/>
  <c r="M33" i="12"/>
  <c r="M562" i="12"/>
  <c r="P565" i="12"/>
  <c r="L462" i="12"/>
  <c r="L33" i="12"/>
  <c r="L617" i="12" s="1"/>
  <c r="N287" i="12"/>
  <c r="O287" i="12"/>
  <c r="L406" i="12"/>
  <c r="M6" i="12"/>
  <c r="P6" i="12"/>
  <c r="N33" i="12"/>
  <c r="P170" i="12"/>
  <c r="M187" i="12"/>
  <c r="N187" i="12"/>
  <c r="L309" i="12"/>
  <c r="P389" i="12"/>
  <c r="N432" i="12"/>
  <c r="M462" i="12"/>
  <c r="M3" i="12"/>
  <c r="O33" i="12"/>
  <c r="L170" i="12"/>
  <c r="O187" i="12"/>
  <c r="L389" i="12"/>
  <c r="M406" i="12"/>
  <c r="O432" i="12"/>
  <c r="M565" i="12"/>
  <c r="O309" i="12"/>
  <c r="O19" i="12"/>
  <c r="P33" i="12"/>
  <c r="M170" i="12"/>
  <c r="P187" i="12"/>
  <c r="L287" i="12"/>
  <c r="P309" i="12"/>
  <c r="M389" i="12"/>
  <c r="O406" i="12"/>
  <c r="P432" i="12"/>
  <c r="L562" i="12"/>
  <c r="N565" i="12"/>
  <c r="P617" i="12"/>
  <c r="L19" i="12"/>
  <c r="L6" i="12"/>
  <c r="L432" i="12"/>
  <c r="O617" i="12" l="1"/>
  <c r="M617" i="12"/>
  <c r="N621" i="12" s="1"/>
  <c r="N617" i="12"/>
  <c r="H47" i="1"/>
  <c r="L46" i="1"/>
  <c r="K46" i="1"/>
  <c r="J46" i="1"/>
  <c r="I46" i="1"/>
  <c r="L29" i="1"/>
  <c r="K29" i="1"/>
  <c r="J29" i="1"/>
  <c r="I29" i="1"/>
  <c r="E2138" i="2"/>
  <c r="E2139" i="2"/>
  <c r="E2140" i="2"/>
  <c r="E2141" i="2"/>
  <c r="E2142" i="2"/>
  <c r="E2143" i="2"/>
  <c r="E2144" i="2"/>
  <c r="E2145" i="2"/>
  <c r="E2146" i="2"/>
  <c r="E2147" i="2"/>
  <c r="E2148" i="2"/>
  <c r="E2149" i="2"/>
  <c r="S43" i="5"/>
  <c r="H29" i="1" l="1"/>
  <c r="E2182" i="2"/>
  <c r="E2181" i="2"/>
  <c r="E2180" i="2"/>
  <c r="E2179" i="2"/>
  <c r="E2178" i="2"/>
  <c r="E2177" i="2"/>
  <c r="E2176" i="2"/>
  <c r="E2175" i="2"/>
  <c r="E2174" i="2"/>
  <c r="E2173" i="2"/>
  <c r="E2172" i="2"/>
  <c r="E2171" i="2"/>
  <c r="E2170" i="2"/>
  <c r="E2169" i="2"/>
  <c r="E2168" i="2"/>
  <c r="E2167" i="2"/>
  <c r="E2166" i="2"/>
  <c r="E2165" i="2"/>
  <c r="E2164" i="2"/>
  <c r="E2163" i="2"/>
  <c r="E2162" i="2"/>
  <c r="E2161" i="2"/>
  <c r="E2160" i="2"/>
  <c r="E2159" i="2"/>
  <c r="E2158" i="2"/>
  <c r="E2157" i="2"/>
  <c r="E2156" i="2"/>
  <c r="E2155" i="2"/>
  <c r="E2154" i="2"/>
  <c r="E2153" i="2"/>
  <c r="E2152" i="2"/>
  <c r="E2151" i="2"/>
  <c r="E2150" i="2"/>
  <c r="D1987" i="2"/>
  <c r="D1986" i="2"/>
  <c r="D1985" i="2"/>
  <c r="D1984" i="2"/>
  <c r="D1983" i="2"/>
  <c r="D1982" i="2"/>
  <c r="D1981" i="2"/>
  <c r="D1980" i="2"/>
  <c r="D1979" i="2"/>
  <c r="D1978" i="2"/>
  <c r="D1977" i="2"/>
  <c r="D1976" i="2"/>
  <c r="D1975" i="2"/>
  <c r="D1974" i="2"/>
  <c r="D1973" i="2"/>
  <c r="D1972" i="2"/>
  <c r="D1971" i="2"/>
  <c r="D1970" i="2"/>
  <c r="D1969" i="2"/>
  <c r="D1968" i="2"/>
  <c r="D1967" i="2"/>
  <c r="D1966" i="2"/>
  <c r="D1965" i="2"/>
  <c r="D1964" i="2"/>
  <c r="D1963" i="2"/>
  <c r="D1962" i="2"/>
  <c r="D1961" i="2"/>
  <c r="D1960" i="2"/>
  <c r="D1959" i="2"/>
  <c r="D1958" i="2"/>
  <c r="D1957" i="2"/>
  <c r="D1956" i="2"/>
  <c r="D1955" i="2"/>
  <c r="D1954" i="2"/>
  <c r="E1837" i="2"/>
  <c r="E1836" i="2"/>
  <c r="E1835" i="2"/>
  <c r="E1834" i="2"/>
  <c r="E1833" i="2"/>
  <c r="E1832" i="2"/>
  <c r="E1831" i="2"/>
  <c r="E1830" i="2"/>
  <c r="E1829" i="2"/>
  <c r="E1828" i="2"/>
  <c r="E1827" i="2"/>
  <c r="E1826" i="2"/>
  <c r="E1825" i="2"/>
  <c r="E1822" i="2" l="1"/>
  <c r="E1821" i="2"/>
  <c r="E1820" i="2"/>
  <c r="E1819" i="2"/>
  <c r="E1818" i="2"/>
  <c r="E1817" i="2"/>
  <c r="E1816" i="2"/>
  <c r="E1815" i="2"/>
  <c r="E1814" i="2"/>
  <c r="E1813" i="2"/>
  <c r="E1812" i="2"/>
  <c r="E1811" i="2"/>
  <c r="E1810" i="2"/>
  <c r="E1809" i="2"/>
  <c r="E1807" i="2"/>
  <c r="E1804" i="2"/>
  <c r="E1803" i="2"/>
  <c r="E1802" i="2"/>
  <c r="D1688" i="2" l="1"/>
  <c r="D1689" i="2"/>
  <c r="D1690" i="2"/>
  <c r="D1691" i="2"/>
  <c r="D1692" i="2"/>
  <c r="D1693" i="2"/>
  <c r="D1694" i="2"/>
  <c r="D1695" i="2"/>
  <c r="D1696" i="2"/>
  <c r="D1697" i="2"/>
  <c r="D1698" i="2"/>
  <c r="D1699" i="2"/>
  <c r="D1700" i="2"/>
  <c r="D1701" i="2"/>
  <c r="D1702" i="2"/>
  <c r="D1703" i="2"/>
  <c r="D1704" i="2"/>
  <c r="D1705" i="2"/>
  <c r="D1706" i="2"/>
  <c r="D1707" i="2"/>
  <c r="D1687" i="2"/>
  <c r="H1441" i="2"/>
  <c r="G1441" i="2"/>
  <c r="H1440" i="2"/>
  <c r="G1440" i="2"/>
  <c r="J1439" i="2"/>
  <c r="I1439" i="2"/>
  <c r="H1439" i="2"/>
  <c r="G1439" i="2"/>
  <c r="J1431" i="2"/>
  <c r="I1431" i="2"/>
  <c r="H1431" i="2"/>
  <c r="G1431" i="2"/>
  <c r="J1428" i="2"/>
  <c r="I1428" i="2"/>
  <c r="H1428" i="2"/>
  <c r="G1428" i="2"/>
  <c r="J1427" i="2"/>
  <c r="I1427" i="2"/>
  <c r="H1427" i="2"/>
  <c r="G1427" i="2"/>
  <c r="J1426" i="2"/>
  <c r="I1426" i="2"/>
  <c r="H1426" i="2"/>
  <c r="G1426" i="2"/>
  <c r="J1424" i="2"/>
  <c r="I1424" i="2"/>
  <c r="H1424" i="2"/>
  <c r="G1424" i="2"/>
  <c r="J1423" i="2"/>
  <c r="I1423" i="2"/>
  <c r="H1423" i="2"/>
  <c r="G1423" i="2"/>
  <c r="J1422" i="2"/>
  <c r="I1422" i="2"/>
  <c r="H1422" i="2"/>
  <c r="G1422" i="2"/>
  <c r="J1410" i="2"/>
  <c r="I1410" i="2"/>
  <c r="H1410" i="2"/>
  <c r="G1410" i="2"/>
  <c r="J1404" i="2"/>
  <c r="I1404" i="2"/>
  <c r="H1404" i="2"/>
  <c r="G1404" i="2"/>
  <c r="D1178" i="2" l="1"/>
  <c r="D1177" i="2"/>
  <c r="D1176" i="2"/>
  <c r="D1175" i="2"/>
  <c r="D1174" i="2"/>
  <c r="D1173" i="2"/>
  <c r="D1172" i="2"/>
  <c r="D1171" i="2"/>
  <c r="D1170" i="2"/>
  <c r="D1169" i="2"/>
  <c r="D1168" i="2"/>
  <c r="D1167" i="2"/>
  <c r="D1166" i="2"/>
  <c r="D1165" i="2"/>
  <c r="D1164" i="2"/>
  <c r="D1163" i="2"/>
  <c r="D1162" i="2"/>
  <c r="D1161" i="2"/>
  <c r="D1160" i="2"/>
  <c r="D1159" i="2"/>
  <c r="D1158" i="2"/>
  <c r="D1157" i="2"/>
  <c r="D1156" i="2"/>
  <c r="D1155" i="2"/>
  <c r="D1154" i="2"/>
  <c r="D1153" i="2"/>
  <c r="D1152" i="2"/>
  <c r="D736" i="2"/>
  <c r="D735" i="2"/>
  <c r="D734" i="2"/>
  <c r="D733" i="2"/>
  <c r="D732" i="2"/>
  <c r="D731" i="2"/>
  <c r="D730" i="2"/>
  <c r="D727" i="2"/>
  <c r="D725" i="2"/>
  <c r="G610" i="2"/>
  <c r="H610" i="2"/>
  <c r="I610" i="2"/>
  <c r="J610" i="2"/>
  <c r="J659" i="2" l="1"/>
  <c r="I659" i="2"/>
  <c r="H659" i="2"/>
  <c r="G659" i="2"/>
  <c r="L16" i="9" l="1"/>
  <c r="M16" i="9"/>
  <c r="N16" i="9"/>
  <c r="L15" i="9"/>
  <c r="M15" i="9"/>
  <c r="N15" i="9"/>
  <c r="P71" i="7"/>
  <c r="O71" i="7"/>
  <c r="N71" i="7"/>
  <c r="M71" i="7"/>
  <c r="D71" i="7"/>
  <c r="L71" i="7" s="1"/>
  <c r="P70" i="7"/>
  <c r="O70" i="7"/>
  <c r="N70" i="7"/>
  <c r="M70" i="7"/>
  <c r="D70" i="7"/>
  <c r="L70" i="7" s="1"/>
  <c r="P69" i="7"/>
  <c r="O69" i="7"/>
  <c r="N69" i="7"/>
  <c r="M69" i="7"/>
  <c r="L69" i="7"/>
  <c r="D69" i="7"/>
  <c r="P68" i="7"/>
  <c r="O68" i="7"/>
  <c r="N68" i="7"/>
  <c r="M68" i="7"/>
  <c r="D68" i="7"/>
  <c r="L68" i="7" s="1"/>
  <c r="P67" i="7"/>
  <c r="O67" i="7"/>
  <c r="N67" i="7"/>
  <c r="M67" i="7"/>
  <c r="D67" i="7"/>
  <c r="L67" i="7" s="1"/>
  <c r="P66" i="7"/>
  <c r="O66" i="7"/>
  <c r="N66" i="7"/>
  <c r="M66" i="7"/>
  <c r="L66" i="7"/>
  <c r="D66" i="7"/>
  <c r="P65" i="7"/>
  <c r="O65" i="7"/>
  <c r="N65" i="7"/>
  <c r="M65" i="7"/>
  <c r="D65" i="7"/>
  <c r="L65" i="7" s="1"/>
  <c r="P64" i="7"/>
  <c r="O64" i="7"/>
  <c r="N64" i="7"/>
  <c r="M64" i="7"/>
  <c r="L64" i="7"/>
  <c r="D64" i="7"/>
  <c r="P63" i="7"/>
  <c r="O63" i="7"/>
  <c r="N63" i="7"/>
  <c r="M63" i="7"/>
  <c r="L63" i="7"/>
  <c r="D63" i="7"/>
  <c r="P62" i="7"/>
  <c r="O62" i="7"/>
  <c r="N62" i="7"/>
  <c r="M62" i="7"/>
  <c r="D62" i="7"/>
  <c r="L62" i="7" s="1"/>
  <c r="P61" i="7"/>
  <c r="O61" i="7"/>
  <c r="N61" i="7"/>
  <c r="M61" i="7"/>
  <c r="D61" i="7"/>
  <c r="L61" i="7" s="1"/>
  <c r="P60" i="7"/>
  <c r="O60" i="7"/>
  <c r="N60" i="7"/>
  <c r="M60" i="7"/>
  <c r="D60" i="7"/>
  <c r="L60" i="7" s="1"/>
  <c r="P59" i="7"/>
  <c r="O59" i="7"/>
  <c r="N59" i="7"/>
  <c r="M59" i="7"/>
  <c r="D59" i="7"/>
  <c r="L59" i="7" s="1"/>
  <c r="P58" i="7"/>
  <c r="O58" i="7"/>
  <c r="N58" i="7"/>
  <c r="M58" i="7"/>
  <c r="D58" i="7"/>
  <c r="L58" i="7" s="1"/>
  <c r="P57" i="7"/>
  <c r="O57" i="7"/>
  <c r="N57" i="7"/>
  <c r="M57" i="7"/>
  <c r="D57" i="7"/>
  <c r="L57" i="7" s="1"/>
  <c r="P56" i="7"/>
  <c r="O56" i="7"/>
  <c r="N56" i="7"/>
  <c r="M56" i="7"/>
  <c r="D56" i="7"/>
  <c r="L56" i="7" s="1"/>
  <c r="P55" i="7"/>
  <c r="O55" i="7"/>
  <c r="N55" i="7"/>
  <c r="M55" i="7"/>
  <c r="D55" i="7"/>
  <c r="L55" i="7" s="1"/>
  <c r="P54" i="7"/>
  <c r="O54" i="7"/>
  <c r="N54" i="7"/>
  <c r="M54" i="7"/>
  <c r="L54" i="7"/>
  <c r="D54" i="7"/>
  <c r="P53" i="7"/>
  <c r="O53" i="7"/>
  <c r="N53" i="7"/>
  <c r="M53" i="7"/>
  <c r="D53" i="7"/>
  <c r="L53" i="7" s="1"/>
  <c r="P52" i="7"/>
  <c r="O52" i="7"/>
  <c r="N52" i="7"/>
  <c r="M52" i="7"/>
  <c r="D52" i="7"/>
  <c r="L52" i="7" s="1"/>
  <c r="P51" i="7"/>
  <c r="O51" i="7"/>
  <c r="N51" i="7"/>
  <c r="M51" i="7"/>
  <c r="D51" i="7"/>
  <c r="L51" i="7" s="1"/>
  <c r="P50" i="7"/>
  <c r="O50" i="7"/>
  <c r="N50" i="7"/>
  <c r="M50" i="7"/>
  <c r="D50" i="7"/>
  <c r="L50" i="7" s="1"/>
  <c r="P49" i="7"/>
  <c r="O49" i="7"/>
  <c r="N49" i="7"/>
  <c r="M49" i="7"/>
  <c r="D49" i="7"/>
  <c r="L49" i="7" s="1"/>
  <c r="P48" i="7"/>
  <c r="O48" i="7"/>
  <c r="N48" i="7"/>
  <c r="M48" i="7"/>
  <c r="D48" i="7"/>
  <c r="L48" i="7" s="1"/>
  <c r="P47" i="7"/>
  <c r="O47" i="7"/>
  <c r="N47" i="7"/>
  <c r="M47" i="7"/>
  <c r="D47" i="7"/>
  <c r="L47" i="7" s="1"/>
  <c r="P46" i="7"/>
  <c r="O46" i="7"/>
  <c r="N46" i="7"/>
  <c r="M46" i="7"/>
  <c r="D46" i="7"/>
  <c r="L46" i="7" s="1"/>
  <c r="P45" i="7"/>
  <c r="O45" i="7"/>
  <c r="N45" i="7"/>
  <c r="M45" i="7"/>
  <c r="D45" i="7"/>
  <c r="L45" i="7" s="1"/>
  <c r="P44" i="7"/>
  <c r="O44" i="7"/>
  <c r="N44" i="7"/>
  <c r="M44" i="7"/>
  <c r="D44" i="7"/>
  <c r="L44" i="7" s="1"/>
  <c r="P43" i="7"/>
  <c r="O43" i="7"/>
  <c r="N43" i="7"/>
  <c r="M43" i="7"/>
  <c r="D43" i="7"/>
  <c r="L43" i="7" s="1"/>
  <c r="P42" i="7"/>
  <c r="O42" i="7"/>
  <c r="N42" i="7"/>
  <c r="M42" i="7"/>
  <c r="D42" i="7"/>
  <c r="L42" i="7" s="1"/>
  <c r="P41" i="7"/>
  <c r="O41" i="7"/>
  <c r="N41" i="7"/>
  <c r="M41" i="7"/>
  <c r="D41" i="7"/>
  <c r="L41" i="7" s="1"/>
  <c r="P40" i="7"/>
  <c r="O40" i="7"/>
  <c r="N40" i="7"/>
  <c r="M40" i="7"/>
  <c r="D40" i="7"/>
  <c r="L40" i="7" s="1"/>
  <c r="P39" i="7"/>
  <c r="O39" i="7"/>
  <c r="N39" i="7"/>
  <c r="M39" i="7"/>
  <c r="D39" i="7"/>
  <c r="L39" i="7" s="1"/>
  <c r="P38" i="7"/>
  <c r="O38" i="7"/>
  <c r="N38" i="7"/>
  <c r="M38" i="7"/>
  <c r="D38" i="7"/>
  <c r="L38" i="7" s="1"/>
  <c r="P37" i="7"/>
  <c r="O37" i="7"/>
  <c r="N37" i="7"/>
  <c r="M37" i="7"/>
  <c r="D37" i="7"/>
  <c r="L37" i="7" s="1"/>
  <c r="P36" i="7"/>
  <c r="O36" i="7"/>
  <c r="N36" i="7"/>
  <c r="M36" i="7"/>
  <c r="D36" i="7"/>
  <c r="L36" i="7" s="1"/>
  <c r="P35" i="7"/>
  <c r="O35" i="7"/>
  <c r="N35" i="7"/>
  <c r="M35" i="7"/>
  <c r="D35" i="7"/>
  <c r="L35" i="7" s="1"/>
  <c r="P34" i="7"/>
  <c r="O34" i="7"/>
  <c r="N34" i="7"/>
  <c r="M34" i="7"/>
  <c r="D34" i="7"/>
  <c r="L34" i="7" s="1"/>
  <c r="P33" i="7"/>
  <c r="O33" i="7"/>
  <c r="N33" i="7"/>
  <c r="M33" i="7"/>
  <c r="D33" i="7"/>
  <c r="L33" i="7" s="1"/>
  <c r="P32" i="7"/>
  <c r="O32" i="7"/>
  <c r="N32" i="7"/>
  <c r="M32" i="7"/>
  <c r="D32" i="7"/>
  <c r="L32" i="7" s="1"/>
  <c r="P31" i="7"/>
  <c r="O31" i="7"/>
  <c r="N31" i="7"/>
  <c r="M31" i="7"/>
  <c r="D31" i="7"/>
  <c r="L31" i="7" s="1"/>
  <c r="P30" i="7"/>
  <c r="O30" i="7"/>
  <c r="N30" i="7"/>
  <c r="M30" i="7"/>
  <c r="D30" i="7"/>
  <c r="L30" i="7" s="1"/>
  <c r="P29" i="7"/>
  <c r="O29" i="7"/>
  <c r="N29" i="7"/>
  <c r="M29" i="7"/>
  <c r="D29" i="7"/>
  <c r="L29" i="7" s="1"/>
  <c r="P28" i="7"/>
  <c r="O28" i="7"/>
  <c r="N28" i="7"/>
  <c r="M28" i="7"/>
  <c r="D28" i="7"/>
  <c r="L28" i="7" s="1"/>
  <c r="P27" i="7"/>
  <c r="O27" i="7"/>
  <c r="N27" i="7"/>
  <c r="M27" i="7"/>
  <c r="D27" i="7"/>
  <c r="L27" i="7" s="1"/>
  <c r="P26" i="7"/>
  <c r="O26" i="7"/>
  <c r="N26" i="7"/>
  <c r="M26" i="7"/>
  <c r="D26" i="7"/>
  <c r="L26" i="7" s="1"/>
  <c r="P25" i="7"/>
  <c r="O25" i="7"/>
  <c r="N25" i="7"/>
  <c r="M25" i="7"/>
  <c r="D25" i="7"/>
  <c r="L25" i="7" s="1"/>
  <c r="P24" i="7"/>
  <c r="O24" i="7"/>
  <c r="N24" i="7"/>
  <c r="M24" i="7"/>
  <c r="D24" i="7"/>
  <c r="L24" i="7" s="1"/>
  <c r="P23" i="7"/>
  <c r="O23" i="7"/>
  <c r="N23" i="7"/>
  <c r="M23" i="7"/>
  <c r="D23" i="7"/>
  <c r="L23" i="7" s="1"/>
  <c r="P22" i="7"/>
  <c r="O22" i="7"/>
  <c r="N22" i="7"/>
  <c r="M22" i="7"/>
  <c r="D22" i="7"/>
  <c r="L22" i="7" s="1"/>
  <c r="P21" i="7"/>
  <c r="O21" i="7"/>
  <c r="N21" i="7"/>
  <c r="M21" i="7"/>
  <c r="D21" i="7"/>
  <c r="L21" i="7" s="1"/>
  <c r="P20" i="7"/>
  <c r="O20" i="7"/>
  <c r="N20" i="7"/>
  <c r="M20" i="7"/>
  <c r="D20" i="7"/>
  <c r="L20" i="7" s="1"/>
  <c r="P19" i="7"/>
  <c r="O19" i="7"/>
  <c r="N19" i="7"/>
  <c r="M19" i="7"/>
  <c r="D19" i="7"/>
  <c r="L19" i="7" s="1"/>
  <c r="P18" i="7"/>
  <c r="O18" i="7"/>
  <c r="N18" i="7"/>
  <c r="M18" i="7"/>
  <c r="D18" i="7"/>
  <c r="L18" i="7" s="1"/>
  <c r="P17" i="7"/>
  <c r="O17" i="7"/>
  <c r="N17" i="7"/>
  <c r="M17" i="7"/>
  <c r="D17" i="7"/>
  <c r="L17" i="7" s="1"/>
  <c r="P16" i="7"/>
  <c r="O16" i="7"/>
  <c r="N16" i="7"/>
  <c r="M16" i="7"/>
  <c r="D16" i="7"/>
  <c r="L16" i="7" s="1"/>
  <c r="P15" i="7"/>
  <c r="O15" i="7"/>
  <c r="N15" i="7"/>
  <c r="M15" i="7"/>
  <c r="D15" i="7"/>
  <c r="L15" i="7" s="1"/>
  <c r="P14" i="7"/>
  <c r="O14" i="7"/>
  <c r="N14" i="7"/>
  <c r="M14" i="7"/>
  <c r="D14" i="7"/>
  <c r="L14" i="7" s="1"/>
  <c r="P13" i="7"/>
  <c r="O13" i="7"/>
  <c r="N13" i="7"/>
  <c r="M13" i="7"/>
  <c r="D13" i="7"/>
  <c r="L13" i="7" s="1"/>
  <c r="P12" i="7"/>
  <c r="O12" i="7"/>
  <c r="N12" i="7"/>
  <c r="M12" i="7"/>
  <c r="D12" i="7"/>
  <c r="L12" i="7" s="1"/>
  <c r="P11" i="7"/>
  <c r="O11" i="7"/>
  <c r="N11" i="7"/>
  <c r="M11" i="7"/>
  <c r="D11" i="7"/>
  <c r="L11" i="7" s="1"/>
  <c r="P10" i="7"/>
  <c r="O10" i="7"/>
  <c r="N10" i="7"/>
  <c r="M10" i="7"/>
  <c r="D10" i="7"/>
  <c r="L10" i="7" s="1"/>
  <c r="P9" i="7"/>
  <c r="O9" i="7"/>
  <c r="N9" i="7"/>
  <c r="M9" i="7"/>
  <c r="D9" i="7"/>
  <c r="L9" i="7" s="1"/>
  <c r="P8" i="7"/>
  <c r="O8" i="7"/>
  <c r="N8" i="7"/>
  <c r="M8" i="7"/>
  <c r="D8" i="7"/>
  <c r="L8" i="7" s="1"/>
  <c r="P7" i="7"/>
  <c r="O7" i="7"/>
  <c r="N7" i="7"/>
  <c r="M7" i="7"/>
  <c r="D7" i="7"/>
  <c r="L7" i="7" s="1"/>
  <c r="P6" i="7"/>
  <c r="O6" i="7"/>
  <c r="N6" i="7"/>
  <c r="M6" i="7"/>
  <c r="D6" i="7"/>
  <c r="L6" i="7" s="1"/>
  <c r="P5" i="7"/>
  <c r="O5" i="7"/>
  <c r="N5" i="7"/>
  <c r="M5" i="7"/>
  <c r="D5" i="7"/>
  <c r="L5" i="7" s="1"/>
  <c r="P4" i="7"/>
  <c r="O4" i="7"/>
  <c r="N4" i="7"/>
  <c r="M4" i="7"/>
  <c r="M72" i="7" s="1"/>
  <c r="D4" i="7"/>
  <c r="L4" i="7" s="1"/>
  <c r="N72" i="7" l="1"/>
  <c r="O72" i="7"/>
  <c r="P72" i="7"/>
  <c r="L72" i="7"/>
  <c r="D5" i="20" l="1"/>
  <c r="D6" i="20"/>
  <c r="D7" i="20"/>
  <c r="D8" i="20"/>
  <c r="AF8" i="20" s="1"/>
  <c r="D9" i="20"/>
  <c r="AF9" i="20" s="1"/>
  <c r="D10" i="20"/>
  <c r="D11" i="20"/>
  <c r="D12" i="20"/>
  <c r="D13" i="20"/>
  <c r="D14" i="20"/>
  <c r="AF14" i="20" s="1"/>
  <c r="D15" i="20"/>
  <c r="AF15" i="20" s="1"/>
  <c r="D16" i="20"/>
  <c r="D17" i="20"/>
  <c r="D18" i="20"/>
  <c r="D19" i="20"/>
  <c r="D20" i="20"/>
  <c r="D21" i="20"/>
  <c r="D22" i="20"/>
  <c r="D23" i="20"/>
  <c r="D24" i="20"/>
  <c r="D25" i="20"/>
  <c r="D26" i="20"/>
  <c r="D27" i="20"/>
  <c r="D28" i="20"/>
  <c r="D29" i="20"/>
  <c r="D30" i="20"/>
  <c r="AF30" i="20" s="1"/>
  <c r="D31" i="20"/>
  <c r="AF31" i="20" s="1"/>
  <c r="D32" i="20"/>
  <c r="D33" i="20"/>
  <c r="D34" i="20"/>
  <c r="D35" i="20"/>
  <c r="AF35" i="20" s="1"/>
  <c r="D36" i="20"/>
  <c r="D37" i="20"/>
  <c r="D38" i="20"/>
  <c r="D39" i="20"/>
  <c r="D40" i="20"/>
  <c r="D41" i="20"/>
  <c r="D42" i="20"/>
  <c r="AF42" i="20" s="1"/>
  <c r="D43" i="20"/>
  <c r="AF43" i="20" s="1"/>
  <c r="D44" i="20"/>
  <c r="AF44" i="20" s="1"/>
  <c r="D45" i="20"/>
  <c r="AF45" i="20" s="1"/>
  <c r="D46" i="20"/>
  <c r="AF46" i="20" s="1"/>
  <c r="D47" i="20"/>
  <c r="AF47" i="20" s="1"/>
  <c r="D48" i="20"/>
  <c r="AF48" i="20" s="1"/>
  <c r="D49" i="20"/>
  <c r="AF49" i="20" s="1"/>
  <c r="D50" i="20"/>
  <c r="AF50" i="20" s="1"/>
  <c r="D51" i="20"/>
  <c r="AF51" i="20" s="1"/>
  <c r="D52" i="20"/>
  <c r="AF52" i="20" s="1"/>
  <c r="D53" i="20"/>
  <c r="AF53" i="20" s="1"/>
  <c r="D54" i="20"/>
  <c r="AF54" i="20" s="1"/>
  <c r="D55" i="20"/>
  <c r="AF55" i="20" s="1"/>
  <c r="D56" i="20"/>
  <c r="AF56" i="20" s="1"/>
  <c r="D57" i="20"/>
  <c r="AF57" i="20" s="1"/>
  <c r="D58" i="20"/>
  <c r="AF58" i="20" s="1"/>
  <c r="D59" i="20"/>
  <c r="AF59" i="20" s="1"/>
  <c r="D60" i="20"/>
  <c r="AF60" i="20" s="1"/>
  <c r="D61" i="20"/>
  <c r="AF61" i="20" s="1"/>
  <c r="D62" i="20"/>
  <c r="AF62" i="20" s="1"/>
  <c r="D63" i="20"/>
  <c r="AF63" i="20" s="1"/>
  <c r="D64" i="20"/>
  <c r="AF64" i="20" s="1"/>
  <c r="D65" i="20"/>
  <c r="AF65" i="20" s="1"/>
  <c r="D66" i="20"/>
  <c r="AF66" i="20" s="1"/>
  <c r="D67" i="20"/>
  <c r="AF67" i="20" s="1"/>
  <c r="D68" i="20"/>
  <c r="AF68" i="20" s="1"/>
  <c r="D69" i="20"/>
  <c r="AF69" i="20" s="1"/>
  <c r="D70" i="20"/>
  <c r="AF70" i="20" s="1"/>
  <c r="D71" i="20"/>
  <c r="AF71" i="20" s="1"/>
  <c r="D72" i="20"/>
  <c r="AF72" i="20" s="1"/>
  <c r="D73" i="20"/>
  <c r="AF73" i="20" s="1"/>
  <c r="D74" i="20"/>
  <c r="AF74" i="20" s="1"/>
  <c r="D75" i="20"/>
  <c r="AF75" i="20" s="1"/>
  <c r="D76" i="20"/>
  <c r="AF76" i="20" s="1"/>
  <c r="D77" i="20"/>
  <c r="AF77" i="20" s="1"/>
  <c r="D78" i="20"/>
  <c r="AF78" i="20" s="1"/>
  <c r="D79" i="20"/>
  <c r="AF79" i="20" s="1"/>
  <c r="D80" i="20"/>
  <c r="AF80" i="20" s="1"/>
  <c r="D81" i="20"/>
  <c r="AF81" i="20" s="1"/>
  <c r="D82" i="20"/>
  <c r="AF82" i="20" s="1"/>
  <c r="D83" i="20"/>
  <c r="AF83" i="20" s="1"/>
  <c r="D84" i="20"/>
  <c r="AF84" i="20" s="1"/>
  <c r="D85" i="20"/>
  <c r="AF85" i="20" s="1"/>
  <c r="D86" i="20"/>
  <c r="AF86" i="20" s="1"/>
  <c r="D87" i="20"/>
  <c r="AF87" i="20" s="1"/>
  <c r="D88" i="20"/>
  <c r="AF88" i="20" s="1"/>
  <c r="D89" i="20"/>
  <c r="AF89" i="20" s="1"/>
  <c r="D90" i="20"/>
  <c r="AF90" i="20" s="1"/>
  <c r="D91" i="20"/>
  <c r="AF91" i="20" s="1"/>
  <c r="D92" i="20"/>
  <c r="AF92" i="20" s="1"/>
  <c r="D93" i="20"/>
  <c r="AF93" i="20" s="1"/>
  <c r="D94" i="20"/>
  <c r="AF94" i="20" s="1"/>
  <c r="D95" i="20"/>
  <c r="AF95" i="20" s="1"/>
  <c r="D96" i="20"/>
  <c r="AF96" i="20" s="1"/>
  <c r="D97" i="20"/>
  <c r="AF97" i="20" s="1"/>
  <c r="D98" i="20"/>
  <c r="AF98" i="20" s="1"/>
  <c r="D99" i="20"/>
  <c r="AF99" i="20" s="1"/>
  <c r="D100" i="20"/>
  <c r="AF100" i="20" s="1"/>
  <c r="D101" i="20"/>
  <c r="AF101" i="20" s="1"/>
  <c r="D102" i="20"/>
  <c r="AF102" i="20" s="1"/>
  <c r="D103" i="20"/>
  <c r="AF103" i="20" s="1"/>
  <c r="D104" i="20"/>
  <c r="AF104" i="20" s="1"/>
  <c r="D105" i="20"/>
  <c r="AF105" i="20" s="1"/>
  <c r="D106" i="20"/>
  <c r="AF106" i="20" s="1"/>
  <c r="D107" i="20"/>
  <c r="AF107" i="20" s="1"/>
  <c r="D108" i="20"/>
  <c r="AF108" i="20" s="1"/>
  <c r="D109" i="20"/>
  <c r="AF109" i="20" s="1"/>
  <c r="D110" i="20"/>
  <c r="AF110" i="20" s="1"/>
  <c r="D111" i="20"/>
  <c r="AF111" i="20" s="1"/>
  <c r="D112" i="20"/>
  <c r="AF112" i="20" s="1"/>
  <c r="D113" i="20"/>
  <c r="AF113" i="20" s="1"/>
  <c r="D114" i="20"/>
  <c r="AF114" i="20" s="1"/>
  <c r="D115" i="20"/>
  <c r="AF115" i="20" s="1"/>
  <c r="D116" i="20"/>
  <c r="AF116" i="20" s="1"/>
  <c r="D117" i="20"/>
  <c r="AF117" i="20" s="1"/>
  <c r="D118" i="20"/>
  <c r="AF118" i="20" s="1"/>
  <c r="D119" i="20"/>
  <c r="AF119" i="20" s="1"/>
  <c r="D120" i="20"/>
  <c r="AF120" i="20" s="1"/>
  <c r="D121" i="20"/>
  <c r="AF121" i="20" s="1"/>
  <c r="D122" i="20"/>
  <c r="AF122" i="20" s="1"/>
  <c r="D123" i="20"/>
  <c r="AF123" i="20" s="1"/>
  <c r="D124" i="20"/>
  <c r="AF124" i="20" s="1"/>
  <c r="D125" i="20"/>
  <c r="AF125" i="20" s="1"/>
  <c r="D126" i="20"/>
  <c r="AF126" i="20" s="1"/>
  <c r="D127" i="20"/>
  <c r="AF127" i="20" s="1"/>
  <c r="D128" i="20"/>
  <c r="AF128" i="20" s="1"/>
  <c r="D129" i="20"/>
  <c r="AF129" i="20" s="1"/>
  <c r="D130" i="20"/>
  <c r="AF130" i="20" s="1"/>
  <c r="D131" i="20"/>
  <c r="AF131" i="20" s="1"/>
  <c r="D132" i="20"/>
  <c r="AF132" i="20" s="1"/>
  <c r="D133" i="20"/>
  <c r="AF133" i="20" s="1"/>
  <c r="D134" i="20"/>
  <c r="AF134" i="20" s="1"/>
  <c r="D135" i="20"/>
  <c r="AF135" i="20" s="1"/>
  <c r="D136" i="20"/>
  <c r="AF136" i="20" s="1"/>
  <c r="D137" i="20"/>
  <c r="AF137" i="20" s="1"/>
  <c r="D138" i="20"/>
  <c r="AF138" i="20" s="1"/>
  <c r="D139" i="20"/>
  <c r="AF139" i="20" s="1"/>
  <c r="D140" i="20"/>
  <c r="AF140" i="20" s="1"/>
  <c r="D141" i="20"/>
  <c r="AF141" i="20" s="1"/>
  <c r="D142" i="20"/>
  <c r="AF142" i="20" s="1"/>
  <c r="D143" i="20"/>
  <c r="AF143" i="20" s="1"/>
  <c r="D144" i="20"/>
  <c r="AF144" i="20" s="1"/>
  <c r="D145" i="20"/>
  <c r="AF145" i="20" s="1"/>
  <c r="D146" i="20"/>
  <c r="AF146" i="20" s="1"/>
  <c r="D147" i="20"/>
  <c r="AF147" i="20" s="1"/>
  <c r="D148" i="20"/>
  <c r="AF148" i="20" s="1"/>
  <c r="D149" i="20"/>
  <c r="AF149" i="20" s="1"/>
  <c r="D150" i="20"/>
  <c r="AF150" i="20" s="1"/>
  <c r="D151" i="20"/>
  <c r="AF151" i="20" s="1"/>
  <c r="D152" i="20"/>
  <c r="AF152" i="20" s="1"/>
  <c r="D153" i="20"/>
  <c r="AF153" i="20" s="1"/>
  <c r="D154" i="20"/>
  <c r="AF154" i="20" s="1"/>
  <c r="D155" i="20"/>
  <c r="AF155" i="20" s="1"/>
  <c r="D156" i="20"/>
  <c r="AF156" i="20" s="1"/>
  <c r="D157" i="20"/>
  <c r="AF157" i="20" s="1"/>
  <c r="D158" i="20"/>
  <c r="AF158" i="20" s="1"/>
  <c r="D159" i="20"/>
  <c r="AF159" i="20" s="1"/>
  <c r="D160" i="20"/>
  <c r="AF160" i="20" s="1"/>
  <c r="D161" i="20"/>
  <c r="AF161" i="20" s="1"/>
  <c r="D162" i="20"/>
  <c r="AF162" i="20" s="1"/>
  <c r="D163" i="20"/>
  <c r="AF163" i="20" s="1"/>
  <c r="D164" i="20"/>
  <c r="AF164" i="20" s="1"/>
  <c r="D4" i="20"/>
  <c r="X31" i="20" l="1"/>
  <c r="X15" i="20"/>
  <c r="X9" i="20"/>
  <c r="X32" i="20"/>
  <c r="AF32" i="20"/>
  <c r="X37" i="20"/>
  <c r="AF37" i="20"/>
  <c r="X25" i="20"/>
  <c r="AF25" i="20"/>
  <c r="X19" i="20"/>
  <c r="AF19" i="20"/>
  <c r="X13" i="20"/>
  <c r="AF13" i="20"/>
  <c r="X7" i="20"/>
  <c r="AF7" i="20"/>
  <c r="X8" i="20"/>
  <c r="X38" i="20"/>
  <c r="AF38" i="20"/>
  <c r="X26" i="20"/>
  <c r="AF26" i="20"/>
  <c r="X20" i="20"/>
  <c r="AF20" i="20"/>
  <c r="X36" i="20"/>
  <c r="AF36" i="20"/>
  <c r="X24" i="20"/>
  <c r="AF24" i="20"/>
  <c r="X18" i="20"/>
  <c r="AF18" i="20"/>
  <c r="X12" i="20"/>
  <c r="AF12" i="20"/>
  <c r="X6" i="20"/>
  <c r="AF6" i="20"/>
  <c r="X30" i="20"/>
  <c r="X41" i="20"/>
  <c r="AF41" i="20"/>
  <c r="X29" i="20"/>
  <c r="AF29" i="20"/>
  <c r="X17" i="20"/>
  <c r="AF17" i="20"/>
  <c r="X11" i="20"/>
  <c r="AF11" i="20"/>
  <c r="X40" i="20"/>
  <c r="AF40" i="20"/>
  <c r="X34" i="20"/>
  <c r="AF34" i="20"/>
  <c r="X28" i="20"/>
  <c r="AF28" i="20"/>
  <c r="X22" i="20"/>
  <c r="AF22" i="20"/>
  <c r="X16" i="20"/>
  <c r="AF16" i="20"/>
  <c r="X10" i="20"/>
  <c r="AF10" i="20"/>
  <c r="X35" i="20"/>
  <c r="X23" i="20"/>
  <c r="AF23" i="20"/>
  <c r="X5" i="20"/>
  <c r="AF5" i="20"/>
  <c r="X4" i="20"/>
  <c r="AF4" i="20"/>
  <c r="X39" i="20"/>
  <c r="AF39" i="20"/>
  <c r="X33" i="20"/>
  <c r="AF33" i="20"/>
  <c r="X27" i="20"/>
  <c r="AF27" i="20"/>
  <c r="X21" i="20"/>
  <c r="AF21" i="20"/>
  <c r="X14" i="20"/>
  <c r="H9" i="3"/>
  <c r="AM9" i="3" s="1"/>
  <c r="L40" i="1"/>
  <c r="K40" i="1"/>
  <c r="J40" i="1"/>
  <c r="I40" i="1"/>
  <c r="P51" i="8"/>
  <c r="O51" i="8"/>
  <c r="N51" i="8"/>
  <c r="P50" i="8"/>
  <c r="O50" i="8"/>
  <c r="N50" i="8"/>
  <c r="M51" i="8"/>
  <c r="M50" i="8"/>
  <c r="L51" i="8"/>
  <c r="L50" i="8"/>
  <c r="L52" i="8" s="1"/>
  <c r="L5" i="1"/>
  <c r="K5" i="1"/>
  <c r="J5" i="1"/>
  <c r="I5" i="1"/>
  <c r="H40" i="1" l="1"/>
  <c r="M52" i="8"/>
  <c r="AG142" i="3"/>
  <c r="AF142" i="3"/>
  <c r="AE142" i="3"/>
  <c r="AE143" i="3"/>
  <c r="AF143" i="3"/>
  <c r="AG143" i="3"/>
  <c r="AH143" i="3"/>
  <c r="AH144" i="3"/>
  <c r="AG144" i="3"/>
  <c r="AF144" i="3"/>
  <c r="AE144" i="3"/>
  <c r="AH123" i="3"/>
  <c r="AH122" i="3"/>
  <c r="AH121" i="3"/>
  <c r="AH120" i="3"/>
  <c r="AH119" i="3"/>
  <c r="L136" i="3"/>
  <c r="K136" i="3"/>
  <c r="J136" i="3"/>
  <c r="L124" i="3"/>
  <c r="K124" i="3"/>
  <c r="J124" i="3"/>
  <c r="J118" i="3"/>
  <c r="L118" i="3"/>
  <c r="K118" i="3"/>
  <c r="H76" i="3"/>
  <c r="AM76" i="3" s="1"/>
  <c r="H11" i="3"/>
  <c r="AM11" i="3" s="1"/>
  <c r="H12" i="3"/>
  <c r="AM12" i="3" s="1"/>
  <c r="H17" i="3"/>
  <c r="AM17" i="3" s="1"/>
  <c r="H18" i="3"/>
  <c r="AM18" i="3" s="1"/>
  <c r="L3" i="3"/>
  <c r="K3" i="3"/>
  <c r="J3" i="3"/>
  <c r="AH118" i="3" l="1"/>
  <c r="H10" i="3"/>
  <c r="AM10" i="3" s="1"/>
  <c r="F1455" i="17" l="1"/>
  <c r="F46" i="1"/>
  <c r="F80" i="1" s="1"/>
  <c r="H49" i="1" l="1"/>
  <c r="H48" i="1"/>
  <c r="L130" i="9" l="1"/>
  <c r="M130" i="9"/>
  <c r="N130" i="9"/>
  <c r="O130" i="9"/>
  <c r="P130" i="9"/>
  <c r="D64" i="8"/>
  <c r="D63" i="8"/>
  <c r="D62" i="8"/>
  <c r="D61" i="8"/>
  <c r="D60" i="8"/>
  <c r="D59" i="8"/>
  <c r="D38" i="8"/>
  <c r="D37" i="8"/>
  <c r="D34" i="8"/>
  <c r="D31" i="8"/>
  <c r="D30" i="8"/>
  <c r="D29" i="8"/>
  <c r="D23" i="8"/>
  <c r="D22" i="8"/>
  <c r="D21" i="8"/>
  <c r="D20" i="8"/>
  <c r="D19" i="8"/>
  <c r="D17" i="8"/>
  <c r="D14" i="8"/>
  <c r="D13" i="8"/>
  <c r="D12" i="8"/>
  <c r="D11" i="8"/>
  <c r="D10" i="8"/>
  <c r="AE148" i="3" l="1"/>
  <c r="L34" i="1" l="1"/>
  <c r="L55" i="1"/>
  <c r="L62" i="1"/>
  <c r="L72" i="1"/>
  <c r="L76" i="1"/>
  <c r="L80" i="1" l="1"/>
  <c r="P4" i="16"/>
  <c r="O4" i="16"/>
  <c r="N4" i="16"/>
  <c r="M4" i="16"/>
  <c r="K72" i="1"/>
  <c r="J72" i="1"/>
  <c r="I72" i="1"/>
  <c r="H75" i="1"/>
  <c r="H74" i="1"/>
  <c r="H73" i="1"/>
  <c r="AC56" i="14"/>
  <c r="AC5" i="14"/>
  <c r="AC6" i="14"/>
  <c r="AC7" i="14"/>
  <c r="AC8" i="14"/>
  <c r="AC9" i="14"/>
  <c r="AC10" i="14"/>
  <c r="AC11" i="14"/>
  <c r="AC12" i="14"/>
  <c r="AC13" i="14"/>
  <c r="AC14" i="14"/>
  <c r="AC15" i="14"/>
  <c r="AC16" i="14"/>
  <c r="AC17" i="14"/>
  <c r="AC18" i="14"/>
  <c r="AC19" i="14"/>
  <c r="AC20" i="14"/>
  <c r="AC21" i="14"/>
  <c r="AC22" i="14"/>
  <c r="Z4" i="14"/>
  <c r="AA4" i="14"/>
  <c r="AB4" i="14"/>
  <c r="AC4" i="14"/>
  <c r="Y74" i="14"/>
  <c r="G72" i="1"/>
  <c r="K76" i="1"/>
  <c r="J76" i="1"/>
  <c r="I76" i="1"/>
  <c r="H78" i="1"/>
  <c r="H77" i="1"/>
  <c r="G76" i="1"/>
  <c r="K62" i="1"/>
  <c r="J62" i="1"/>
  <c r="K34" i="1"/>
  <c r="J34" i="1"/>
  <c r="I34" i="1"/>
  <c r="H24" i="1"/>
  <c r="N100" i="3"/>
  <c r="R100" i="3"/>
  <c r="U100" i="3"/>
  <c r="Y100" i="3"/>
  <c r="AE11" i="3"/>
  <c r="H5" i="3"/>
  <c r="AM5" i="3" s="1"/>
  <c r="H7" i="3"/>
  <c r="AM7" i="3" s="1"/>
  <c r="H8" i="3"/>
  <c r="AM8" i="3" s="1"/>
  <c r="H61" i="1"/>
  <c r="E44" i="10"/>
  <c r="E45" i="10"/>
  <c r="E46" i="10"/>
  <c r="E47" i="10"/>
  <c r="E48" i="10"/>
  <c r="E43"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9" i="10"/>
  <c r="E5" i="10"/>
  <c r="E6" i="10"/>
  <c r="E7" i="10"/>
  <c r="E4" i="10"/>
  <c r="D40" i="14"/>
  <c r="Y40" i="14" s="1"/>
  <c r="Z40" i="14"/>
  <c r="AA40" i="14"/>
  <c r="AB40" i="14"/>
  <c r="AC40" i="14"/>
  <c r="D41" i="14"/>
  <c r="Y41" i="14" s="1"/>
  <c r="Z41" i="14"/>
  <c r="AA41" i="14"/>
  <c r="AB41" i="14"/>
  <c r="AC41" i="14"/>
  <c r="D42" i="14"/>
  <c r="Y42" i="14" s="1"/>
  <c r="Z42" i="14"/>
  <c r="AA42" i="14"/>
  <c r="AB42" i="14"/>
  <c r="AC42" i="14"/>
  <c r="D43" i="14"/>
  <c r="Y43" i="14" s="1"/>
  <c r="Z43" i="14"/>
  <c r="AA43" i="14"/>
  <c r="AB43" i="14"/>
  <c r="AC43" i="14"/>
  <c r="D44" i="14"/>
  <c r="Y44" i="14" s="1"/>
  <c r="Z44" i="14"/>
  <c r="AA44" i="14"/>
  <c r="AB44" i="14"/>
  <c r="AC44" i="14"/>
  <c r="D45" i="14"/>
  <c r="Y45" i="14" s="1"/>
  <c r="Z45" i="14"/>
  <c r="AA45" i="14"/>
  <c r="AB45" i="14"/>
  <c r="AC45" i="14"/>
  <c r="D46" i="14"/>
  <c r="Y46" i="14" s="1"/>
  <c r="Z46" i="14"/>
  <c r="AA46" i="14"/>
  <c r="AB46" i="14"/>
  <c r="AC46" i="14"/>
  <c r="D47" i="14"/>
  <c r="Y47" i="14" s="1"/>
  <c r="Z47" i="14"/>
  <c r="AA47" i="14"/>
  <c r="AB47" i="14"/>
  <c r="AC47" i="14"/>
  <c r="D48" i="14"/>
  <c r="Y48" i="14" s="1"/>
  <c r="Z48" i="14"/>
  <c r="AA48" i="14"/>
  <c r="AB48" i="14"/>
  <c r="AC48" i="14"/>
  <c r="D49" i="14"/>
  <c r="Y49" i="14" s="1"/>
  <c r="Z49" i="14"/>
  <c r="AA49" i="14"/>
  <c r="AB49" i="14"/>
  <c r="AC49" i="14"/>
  <c r="D50" i="14"/>
  <c r="Y50" i="14" s="1"/>
  <c r="Z50" i="14"/>
  <c r="AA50" i="14"/>
  <c r="AB50" i="14"/>
  <c r="AC50" i="14"/>
  <c r="D51" i="14"/>
  <c r="Y51" i="14"/>
  <c r="Z51" i="14"/>
  <c r="AA51" i="14"/>
  <c r="AB51" i="14"/>
  <c r="AC51" i="14"/>
  <c r="D52" i="14"/>
  <c r="Y52" i="14" s="1"/>
  <c r="Z52" i="14"/>
  <c r="AA52" i="14"/>
  <c r="AB52" i="14"/>
  <c r="AC52" i="14"/>
  <c r="D53" i="14"/>
  <c r="Y53" i="14" s="1"/>
  <c r="Z53" i="14"/>
  <c r="AA53" i="14"/>
  <c r="AB53" i="14"/>
  <c r="AC53" i="14"/>
  <c r="D54" i="14"/>
  <c r="Y54" i="14" s="1"/>
  <c r="Z54" i="14"/>
  <c r="AA54" i="14"/>
  <c r="AB54" i="14"/>
  <c r="AC54" i="14"/>
  <c r="D55" i="14"/>
  <c r="Y55" i="14" s="1"/>
  <c r="Z55" i="14"/>
  <c r="AA55" i="14"/>
  <c r="AB55" i="14"/>
  <c r="AC55" i="14"/>
  <c r="D56" i="14"/>
  <c r="Y56" i="14" s="1"/>
  <c r="Z56" i="14"/>
  <c r="AA56" i="14"/>
  <c r="AB56" i="14"/>
  <c r="D57" i="14"/>
  <c r="Y57" i="14" s="1"/>
  <c r="Z57" i="14"/>
  <c r="AA57" i="14"/>
  <c r="AB57" i="14"/>
  <c r="AC57" i="14"/>
  <c r="D58" i="14"/>
  <c r="Y58" i="14" s="1"/>
  <c r="Z58" i="14"/>
  <c r="AA58" i="14"/>
  <c r="AB58" i="14"/>
  <c r="AC58" i="14"/>
  <c r="D59" i="14"/>
  <c r="Y59" i="14" s="1"/>
  <c r="Z59" i="14"/>
  <c r="AA59" i="14"/>
  <c r="AB59" i="14"/>
  <c r="AC59" i="14"/>
  <c r="D60" i="14"/>
  <c r="Y60" i="14" s="1"/>
  <c r="Z60" i="14"/>
  <c r="AA60" i="14"/>
  <c r="AB60" i="14"/>
  <c r="AC60" i="14"/>
  <c r="D61" i="14"/>
  <c r="Y61" i="14" s="1"/>
  <c r="Z61" i="14"/>
  <c r="AA61" i="14"/>
  <c r="AB61" i="14"/>
  <c r="AC61" i="14"/>
  <c r="D62" i="14"/>
  <c r="Y62" i="14" s="1"/>
  <c r="Z62" i="14"/>
  <c r="AA62" i="14"/>
  <c r="AB62" i="14"/>
  <c r="AC62" i="14"/>
  <c r="Y63" i="14"/>
  <c r="Z63" i="14"/>
  <c r="AA63" i="14"/>
  <c r="AB63" i="14"/>
  <c r="AC63" i="14"/>
  <c r="Y64" i="14"/>
  <c r="Z64" i="14"/>
  <c r="AA64" i="14"/>
  <c r="AB64" i="14"/>
  <c r="AC64" i="14"/>
  <c r="Y65" i="14"/>
  <c r="Z65" i="14"/>
  <c r="AA65" i="14"/>
  <c r="AB65" i="14"/>
  <c r="AC65" i="14"/>
  <c r="Y66" i="14"/>
  <c r="Z66" i="14"/>
  <c r="AA66" i="14"/>
  <c r="AB66" i="14"/>
  <c r="AC66" i="14"/>
  <c r="Y67" i="14"/>
  <c r="Z67" i="14"/>
  <c r="AA67" i="14"/>
  <c r="AB67" i="14"/>
  <c r="AC67" i="14"/>
  <c r="Y68" i="14"/>
  <c r="Z68" i="14"/>
  <c r="AA68" i="14"/>
  <c r="AB68" i="14"/>
  <c r="AC68" i="14"/>
  <c r="Y69" i="14"/>
  <c r="Z69" i="14"/>
  <c r="AA69" i="14"/>
  <c r="AB69" i="14"/>
  <c r="AC69" i="14"/>
  <c r="Y70" i="14"/>
  <c r="Z70" i="14"/>
  <c r="AA70" i="14"/>
  <c r="AB70" i="14"/>
  <c r="AC70" i="14"/>
  <c r="AC37" i="14"/>
  <c r="AB37" i="14"/>
  <c r="AA37" i="14"/>
  <c r="Z37" i="14"/>
  <c r="E37" i="14"/>
  <c r="Y37" i="14" s="1"/>
  <c r="AC36" i="14"/>
  <c r="AB36" i="14"/>
  <c r="AA36" i="14"/>
  <c r="Z36" i="14"/>
  <c r="E36" i="14"/>
  <c r="Y36" i="14" s="1"/>
  <c r="AC35" i="14"/>
  <c r="AB35" i="14"/>
  <c r="AA35" i="14"/>
  <c r="Z35" i="14"/>
  <c r="E35" i="14"/>
  <c r="Y35" i="14" s="1"/>
  <c r="AC34" i="14"/>
  <c r="AB34" i="14"/>
  <c r="AA34" i="14"/>
  <c r="Z34" i="14"/>
  <c r="E34" i="14"/>
  <c r="Y34" i="14" s="1"/>
  <c r="AC33" i="14"/>
  <c r="AB33" i="14"/>
  <c r="AA33" i="14"/>
  <c r="Z33" i="14"/>
  <c r="E33" i="14"/>
  <c r="Y33" i="14" s="1"/>
  <c r="AC32" i="14"/>
  <c r="AB32" i="14"/>
  <c r="AA32" i="14"/>
  <c r="Z32" i="14"/>
  <c r="E32" i="14"/>
  <c r="Y32" i="14" s="1"/>
  <c r="AC31" i="14"/>
  <c r="AB31" i="14"/>
  <c r="AA31" i="14"/>
  <c r="Z31" i="14"/>
  <c r="E31" i="14"/>
  <c r="Y31" i="14" s="1"/>
  <c r="AC30" i="14"/>
  <c r="AB30" i="14"/>
  <c r="AA30" i="14"/>
  <c r="Z30" i="14"/>
  <c r="E30" i="14"/>
  <c r="Y30" i="14" s="1"/>
  <c r="AC29" i="14"/>
  <c r="AB29" i="14"/>
  <c r="AA29" i="14"/>
  <c r="Z29" i="14"/>
  <c r="E29" i="14"/>
  <c r="Y29" i="14" s="1"/>
  <c r="AC28" i="14"/>
  <c r="AB28" i="14"/>
  <c r="AA28" i="14"/>
  <c r="Z28" i="14"/>
  <c r="E28" i="14"/>
  <c r="Y28" i="14" s="1"/>
  <c r="AC27" i="14"/>
  <c r="AB27" i="14"/>
  <c r="AA27" i="14"/>
  <c r="Z27" i="14"/>
  <c r="E27" i="14"/>
  <c r="Y27" i="14" s="1"/>
  <c r="AC26" i="14"/>
  <c r="AA26" i="14"/>
  <c r="Z26" i="14"/>
  <c r="E26" i="14"/>
  <c r="Y26" i="14" s="1"/>
  <c r="AB26" i="14" s="1"/>
  <c r="AC25" i="14"/>
  <c r="AB25" i="14"/>
  <c r="AA25" i="14"/>
  <c r="Z25" i="14"/>
  <c r="E25" i="14"/>
  <c r="Y25" i="14" s="1"/>
  <c r="AB5" i="14"/>
  <c r="AB6" i="14"/>
  <c r="AB7" i="14"/>
  <c r="AB8" i="14"/>
  <c r="AB9" i="14"/>
  <c r="AB10" i="14"/>
  <c r="AB11" i="14"/>
  <c r="AB12" i="14"/>
  <c r="AB13" i="14"/>
  <c r="AB14" i="14"/>
  <c r="AB15" i="14"/>
  <c r="AB16" i="14"/>
  <c r="AB17" i="14"/>
  <c r="AB18" i="14"/>
  <c r="AB19" i="14"/>
  <c r="AB20" i="14"/>
  <c r="AB21" i="14"/>
  <c r="AB22" i="14"/>
  <c r="AA5" i="14"/>
  <c r="AA6" i="14"/>
  <c r="AA7" i="14"/>
  <c r="AA8" i="14"/>
  <c r="AA9" i="14"/>
  <c r="AA10" i="14"/>
  <c r="AA11" i="14"/>
  <c r="AA12" i="14"/>
  <c r="AA13" i="14"/>
  <c r="AA14" i="14"/>
  <c r="AA15" i="14"/>
  <c r="AA16" i="14"/>
  <c r="AA17" i="14"/>
  <c r="AA18" i="14"/>
  <c r="AA19" i="14"/>
  <c r="AA20" i="14"/>
  <c r="AA21" i="14"/>
  <c r="AA22" i="14"/>
  <c r="Z5" i="14"/>
  <c r="Z6" i="14"/>
  <c r="Z7" i="14"/>
  <c r="Z8" i="14"/>
  <c r="Z9" i="14"/>
  <c r="Z10" i="14"/>
  <c r="Z11" i="14"/>
  <c r="Z12" i="14"/>
  <c r="Z13" i="14"/>
  <c r="Z14" i="14"/>
  <c r="Z15" i="14"/>
  <c r="Z16" i="14"/>
  <c r="Z17" i="14"/>
  <c r="Z18" i="14"/>
  <c r="Z19" i="14"/>
  <c r="Z20" i="14"/>
  <c r="Z21" i="14"/>
  <c r="Z22" i="14"/>
  <c r="D5" i="14"/>
  <c r="Y5" i="14" s="1"/>
  <c r="D6" i="14"/>
  <c r="Y6" i="14" s="1"/>
  <c r="D7" i="14"/>
  <c r="Y7" i="14" s="1"/>
  <c r="D8" i="14"/>
  <c r="Y8" i="14" s="1"/>
  <c r="D9" i="14"/>
  <c r="Y9" i="14" s="1"/>
  <c r="D10" i="14"/>
  <c r="Y10" i="14" s="1"/>
  <c r="D11" i="14"/>
  <c r="Y11" i="14" s="1"/>
  <c r="D12" i="14"/>
  <c r="Y12" i="14" s="1"/>
  <c r="D13" i="14"/>
  <c r="Y13" i="14" s="1"/>
  <c r="D14" i="14"/>
  <c r="Y14" i="14" s="1"/>
  <c r="D15" i="14"/>
  <c r="Y15" i="14" s="1"/>
  <c r="D16" i="14"/>
  <c r="Y16" i="14" s="1"/>
  <c r="D17" i="14"/>
  <c r="Y17" i="14" s="1"/>
  <c r="D18" i="14"/>
  <c r="Y18" i="14" s="1"/>
  <c r="D19" i="14"/>
  <c r="Y19" i="14" s="1"/>
  <c r="D20" i="14"/>
  <c r="Y20" i="14" s="1"/>
  <c r="D21" i="14"/>
  <c r="Y21" i="14" s="1"/>
  <c r="D22" i="14"/>
  <c r="Y22" i="14" s="1"/>
  <c r="D4" i="14"/>
  <c r="Y4" i="14" s="1"/>
  <c r="P86" i="16"/>
  <c r="O86" i="16"/>
  <c r="N86" i="16"/>
  <c r="M86" i="16"/>
  <c r="L86" i="16"/>
  <c r="P85" i="16"/>
  <c r="O85" i="16"/>
  <c r="N85" i="16"/>
  <c r="M85" i="16"/>
  <c r="L85" i="16"/>
  <c r="P84" i="16"/>
  <c r="O84" i="16"/>
  <c r="N84" i="16"/>
  <c r="M84" i="16"/>
  <c r="L84" i="16"/>
  <c r="P83" i="16"/>
  <c r="O83" i="16"/>
  <c r="N83" i="16"/>
  <c r="M83" i="16"/>
  <c r="L83" i="16"/>
  <c r="P82" i="16"/>
  <c r="O82" i="16"/>
  <c r="N82" i="16"/>
  <c r="M82" i="16"/>
  <c r="L82" i="16"/>
  <c r="P81" i="16"/>
  <c r="O81" i="16"/>
  <c r="N81" i="16"/>
  <c r="M81" i="16"/>
  <c r="L81" i="16"/>
  <c r="P80" i="16"/>
  <c r="O80" i="16"/>
  <c r="N80" i="16"/>
  <c r="M80" i="16"/>
  <c r="L80" i="16"/>
  <c r="P79" i="16"/>
  <c r="O79" i="16"/>
  <c r="N79" i="16"/>
  <c r="M79" i="16"/>
  <c r="L79" i="16"/>
  <c r="P78" i="16"/>
  <c r="O78" i="16"/>
  <c r="N78" i="16"/>
  <c r="M78" i="16"/>
  <c r="L78" i="16"/>
  <c r="P77" i="16"/>
  <c r="O77" i="16"/>
  <c r="N77" i="16"/>
  <c r="M77" i="16"/>
  <c r="L77" i="16"/>
  <c r="P76" i="16"/>
  <c r="O76" i="16"/>
  <c r="N76" i="16"/>
  <c r="M76" i="16"/>
  <c r="L76" i="16"/>
  <c r="P75" i="16"/>
  <c r="O75" i="16"/>
  <c r="N75" i="16"/>
  <c r="M75" i="16"/>
  <c r="L75" i="16"/>
  <c r="P74" i="16"/>
  <c r="O74" i="16"/>
  <c r="N74" i="16"/>
  <c r="M74" i="16"/>
  <c r="L74" i="16"/>
  <c r="P73" i="16"/>
  <c r="O73" i="16"/>
  <c r="N73" i="16"/>
  <c r="M73" i="16"/>
  <c r="L73" i="16"/>
  <c r="P72" i="16"/>
  <c r="O72" i="16"/>
  <c r="N72" i="16"/>
  <c r="M72" i="16"/>
  <c r="L72" i="16"/>
  <c r="P71" i="16"/>
  <c r="O71" i="16"/>
  <c r="N71" i="16"/>
  <c r="M71" i="16"/>
  <c r="L71" i="16"/>
  <c r="P70" i="16"/>
  <c r="O70" i="16"/>
  <c r="N70" i="16"/>
  <c r="M70" i="16"/>
  <c r="L70" i="16"/>
  <c r="P69" i="16"/>
  <c r="O69" i="16"/>
  <c r="N69" i="16"/>
  <c r="M69" i="16"/>
  <c r="L69" i="16"/>
  <c r="P68" i="16"/>
  <c r="O68" i="16"/>
  <c r="N68" i="16"/>
  <c r="M68" i="16"/>
  <c r="L68" i="16"/>
  <c r="P67" i="16"/>
  <c r="O67" i="16"/>
  <c r="N67" i="16"/>
  <c r="M67" i="16"/>
  <c r="L67" i="16"/>
  <c r="P66" i="16"/>
  <c r="O66" i="16"/>
  <c r="N66" i="16"/>
  <c r="M66" i="16"/>
  <c r="L66" i="16"/>
  <c r="P65" i="16"/>
  <c r="O65" i="16"/>
  <c r="N65" i="16"/>
  <c r="M65" i="16"/>
  <c r="L65" i="16"/>
  <c r="P64" i="16"/>
  <c r="O64" i="16"/>
  <c r="N64" i="16"/>
  <c r="M64" i="16"/>
  <c r="L64" i="16"/>
  <c r="P63" i="16"/>
  <c r="O63" i="16"/>
  <c r="N63" i="16"/>
  <c r="M63" i="16"/>
  <c r="L63" i="16"/>
  <c r="P62" i="16"/>
  <c r="O62" i="16"/>
  <c r="N62" i="16"/>
  <c r="M62" i="16"/>
  <c r="L62" i="16"/>
  <c r="P61" i="16"/>
  <c r="O61" i="16"/>
  <c r="N61" i="16"/>
  <c r="M61" i="16"/>
  <c r="L61" i="16"/>
  <c r="P60" i="16"/>
  <c r="O60" i="16"/>
  <c r="N60" i="16"/>
  <c r="M60" i="16"/>
  <c r="L60" i="16"/>
  <c r="P59" i="16"/>
  <c r="O59" i="16"/>
  <c r="N59" i="16"/>
  <c r="M59" i="16"/>
  <c r="L59" i="16"/>
  <c r="P58" i="16"/>
  <c r="O58" i="16"/>
  <c r="N58" i="16"/>
  <c r="M58" i="16"/>
  <c r="L58" i="16"/>
  <c r="P57" i="16"/>
  <c r="O57" i="16"/>
  <c r="N57" i="16"/>
  <c r="M57" i="16"/>
  <c r="L57" i="16"/>
  <c r="P56" i="16"/>
  <c r="O56" i="16"/>
  <c r="N56" i="16"/>
  <c r="M56" i="16"/>
  <c r="L56" i="16"/>
  <c r="P55" i="16"/>
  <c r="O55" i="16"/>
  <c r="N55" i="16"/>
  <c r="M55" i="16"/>
  <c r="L55" i="16"/>
  <c r="P54" i="16"/>
  <c r="O54" i="16"/>
  <c r="N54" i="16"/>
  <c r="M54" i="16"/>
  <c r="L54" i="16"/>
  <c r="P53" i="16"/>
  <c r="O53" i="16"/>
  <c r="N53" i="16"/>
  <c r="M53" i="16"/>
  <c r="L53" i="16"/>
  <c r="P52" i="16"/>
  <c r="O52" i="16"/>
  <c r="N52" i="16"/>
  <c r="M52" i="16"/>
  <c r="L52" i="16"/>
  <c r="P51" i="16"/>
  <c r="O51" i="16"/>
  <c r="N51" i="16"/>
  <c r="M51" i="16"/>
  <c r="L51" i="16"/>
  <c r="P50" i="16"/>
  <c r="O50" i="16"/>
  <c r="N50" i="16"/>
  <c r="M50" i="16"/>
  <c r="L50" i="16"/>
  <c r="P49" i="16"/>
  <c r="O49" i="16"/>
  <c r="N49" i="16"/>
  <c r="M49" i="16"/>
  <c r="L49" i="16"/>
  <c r="P48" i="16"/>
  <c r="O48" i="16"/>
  <c r="N48" i="16"/>
  <c r="M48" i="16"/>
  <c r="L48" i="16"/>
  <c r="P47" i="16"/>
  <c r="O47" i="16"/>
  <c r="N47" i="16"/>
  <c r="M47" i="16"/>
  <c r="L47" i="16"/>
  <c r="P46" i="16"/>
  <c r="O46" i="16"/>
  <c r="N46" i="16"/>
  <c r="M46" i="16"/>
  <c r="L46" i="16"/>
  <c r="P45" i="16"/>
  <c r="O45" i="16"/>
  <c r="N45" i="16"/>
  <c r="M45" i="16"/>
  <c r="L45" i="16"/>
  <c r="P44" i="16"/>
  <c r="O44" i="16"/>
  <c r="N44" i="16"/>
  <c r="M44" i="16"/>
  <c r="L44" i="16"/>
  <c r="P43" i="16"/>
  <c r="O43" i="16"/>
  <c r="N43" i="16"/>
  <c r="M43" i="16"/>
  <c r="L43" i="16"/>
  <c r="P42" i="16"/>
  <c r="O42" i="16"/>
  <c r="N42" i="16"/>
  <c r="M42" i="16"/>
  <c r="L42" i="16"/>
  <c r="P37" i="16"/>
  <c r="O37" i="16"/>
  <c r="N37" i="16"/>
  <c r="M37" i="16"/>
  <c r="D37" i="16"/>
  <c r="P36" i="16"/>
  <c r="O36" i="16"/>
  <c r="N36" i="16"/>
  <c r="M36" i="16"/>
  <c r="D36" i="16"/>
  <c r="P35" i="16"/>
  <c r="O35" i="16"/>
  <c r="N35" i="16"/>
  <c r="M35" i="16"/>
  <c r="D35" i="16"/>
  <c r="P34" i="16"/>
  <c r="O34" i="16"/>
  <c r="N34" i="16"/>
  <c r="M34" i="16"/>
  <c r="D34" i="16"/>
  <c r="P33" i="16"/>
  <c r="O33" i="16"/>
  <c r="N33" i="16"/>
  <c r="M33" i="16"/>
  <c r="D33" i="16"/>
  <c r="P32" i="16"/>
  <c r="O32" i="16"/>
  <c r="N32" i="16"/>
  <c r="M32" i="16"/>
  <c r="D32" i="16"/>
  <c r="P31" i="16"/>
  <c r="O31" i="16"/>
  <c r="N31" i="16"/>
  <c r="M31" i="16"/>
  <c r="D31" i="16"/>
  <c r="P30" i="16"/>
  <c r="O30" i="16"/>
  <c r="N30" i="16"/>
  <c r="M30" i="16"/>
  <c r="D30" i="16"/>
  <c r="P29" i="16"/>
  <c r="O29" i="16"/>
  <c r="N29" i="16"/>
  <c r="M29" i="16"/>
  <c r="D29" i="16"/>
  <c r="P28" i="16"/>
  <c r="O28" i="16"/>
  <c r="N28" i="16"/>
  <c r="M28" i="16"/>
  <c r="D28" i="16"/>
  <c r="P27" i="16"/>
  <c r="O27" i="16"/>
  <c r="N27" i="16"/>
  <c r="M27" i="16"/>
  <c r="D27" i="16"/>
  <c r="P26" i="16"/>
  <c r="O26" i="16"/>
  <c r="N26" i="16"/>
  <c r="M26" i="16"/>
  <c r="D26" i="16"/>
  <c r="P25" i="16"/>
  <c r="O25" i="16"/>
  <c r="N25" i="16"/>
  <c r="M25" i="16"/>
  <c r="D25" i="16"/>
  <c r="P24" i="16"/>
  <c r="O24" i="16"/>
  <c r="N24" i="16"/>
  <c r="M24" i="16"/>
  <c r="D24" i="16"/>
  <c r="P23" i="16"/>
  <c r="O23" i="16"/>
  <c r="N23" i="16"/>
  <c r="M23" i="16"/>
  <c r="D23" i="16"/>
  <c r="P22" i="16"/>
  <c r="O22" i="16"/>
  <c r="N22" i="16"/>
  <c r="M22" i="16"/>
  <c r="D22" i="16"/>
  <c r="P21" i="16"/>
  <c r="O21" i="16"/>
  <c r="N21" i="16"/>
  <c r="M21" i="16"/>
  <c r="D21" i="16"/>
  <c r="P20" i="16"/>
  <c r="O20" i="16"/>
  <c r="N20" i="16"/>
  <c r="M20" i="16"/>
  <c r="D20" i="16"/>
  <c r="P19" i="16"/>
  <c r="O19" i="16"/>
  <c r="N19" i="16"/>
  <c r="M19" i="16"/>
  <c r="D19" i="16"/>
  <c r="P18" i="16"/>
  <c r="O18" i="16"/>
  <c r="N18" i="16"/>
  <c r="M18" i="16"/>
  <c r="D18" i="16"/>
  <c r="P17" i="16"/>
  <c r="O17" i="16"/>
  <c r="N17" i="16"/>
  <c r="M17" i="16"/>
  <c r="D17" i="16"/>
  <c r="P16" i="16"/>
  <c r="O16" i="16"/>
  <c r="N16" i="16"/>
  <c r="M16" i="16"/>
  <c r="D16" i="16"/>
  <c r="P15" i="16"/>
  <c r="O15" i="16"/>
  <c r="N15" i="16"/>
  <c r="M15" i="16"/>
  <c r="D15" i="16"/>
  <c r="P14" i="16"/>
  <c r="O14" i="16"/>
  <c r="N14" i="16"/>
  <c r="M14" i="16"/>
  <c r="D14" i="16"/>
  <c r="P13" i="16"/>
  <c r="O13" i="16"/>
  <c r="N13" i="16"/>
  <c r="M13" i="16"/>
  <c r="D13" i="16"/>
  <c r="P12" i="16"/>
  <c r="O12" i="16"/>
  <c r="N12" i="16"/>
  <c r="M12" i="16"/>
  <c r="D12" i="16"/>
  <c r="P11" i="16"/>
  <c r="O11" i="16"/>
  <c r="N11" i="16"/>
  <c r="M11" i="16"/>
  <c r="D11" i="16"/>
  <c r="P10" i="16"/>
  <c r="O10" i="16"/>
  <c r="N10" i="16"/>
  <c r="M10" i="16"/>
  <c r="D10" i="16"/>
  <c r="P9" i="16"/>
  <c r="O9" i="16"/>
  <c r="N9" i="16"/>
  <c r="M9" i="16"/>
  <c r="D9" i="16"/>
  <c r="P8" i="16"/>
  <c r="O8" i="16"/>
  <c r="N8" i="16"/>
  <c r="M8" i="16"/>
  <c r="D8" i="16"/>
  <c r="P7" i="16"/>
  <c r="O7" i="16"/>
  <c r="N7" i="16"/>
  <c r="M7" i="16"/>
  <c r="D7" i="16"/>
  <c r="P6" i="16"/>
  <c r="O6" i="16"/>
  <c r="N6" i="16"/>
  <c r="M6" i="16"/>
  <c r="D6" i="16"/>
  <c r="P5" i="16"/>
  <c r="O5" i="16"/>
  <c r="N5" i="16"/>
  <c r="M5" i="16"/>
  <c r="D5" i="16"/>
  <c r="D4" i="16"/>
  <c r="L9" i="16" l="1"/>
  <c r="T9" i="16"/>
  <c r="L13" i="16"/>
  <c r="T13" i="16"/>
  <c r="L17" i="16"/>
  <c r="T17" i="16"/>
  <c r="L21" i="16"/>
  <c r="T21" i="16"/>
  <c r="L25" i="16"/>
  <c r="T25" i="16"/>
  <c r="L29" i="16"/>
  <c r="T29" i="16"/>
  <c r="L33" i="16"/>
  <c r="T33" i="16"/>
  <c r="L37" i="16"/>
  <c r="T37" i="16"/>
  <c r="L5" i="16"/>
  <c r="T5" i="16"/>
  <c r="L6" i="16"/>
  <c r="L38" i="16" s="1"/>
  <c r="T6" i="16"/>
  <c r="L10" i="16"/>
  <c r="T10" i="16"/>
  <c r="L14" i="16"/>
  <c r="T14" i="16"/>
  <c r="L18" i="16"/>
  <c r="T18" i="16"/>
  <c r="L22" i="16"/>
  <c r="T22" i="16"/>
  <c r="L26" i="16"/>
  <c r="T26" i="16"/>
  <c r="L30" i="16"/>
  <c r="T30" i="16"/>
  <c r="L34" i="16"/>
  <c r="T34" i="16"/>
  <c r="L7" i="16"/>
  <c r="T7" i="16"/>
  <c r="L11" i="16"/>
  <c r="T11" i="16"/>
  <c r="L15" i="16"/>
  <c r="T15" i="16"/>
  <c r="L19" i="16"/>
  <c r="T19" i="16"/>
  <c r="L23" i="16"/>
  <c r="T23" i="16"/>
  <c r="L27" i="16"/>
  <c r="T27" i="16"/>
  <c r="L31" i="16"/>
  <c r="T31" i="16"/>
  <c r="L35" i="16"/>
  <c r="T35" i="16"/>
  <c r="L4" i="16"/>
  <c r="T4" i="16"/>
  <c r="L8" i="16"/>
  <c r="T8" i="16"/>
  <c r="L12" i="16"/>
  <c r="T12" i="16"/>
  <c r="L16" i="16"/>
  <c r="T16" i="16"/>
  <c r="L20" i="16"/>
  <c r="T20" i="16"/>
  <c r="L24" i="16"/>
  <c r="T24" i="16"/>
  <c r="L28" i="16"/>
  <c r="T28" i="16"/>
  <c r="L32" i="16"/>
  <c r="T32" i="16"/>
  <c r="L36" i="16"/>
  <c r="T36" i="16"/>
  <c r="Y23" i="14"/>
  <c r="H72" i="1"/>
  <c r="H76" i="1"/>
  <c r="Y71" i="14"/>
  <c r="Y73" i="14" s="1"/>
  <c r="Y38" i="14"/>
  <c r="Z38" i="14"/>
  <c r="H100" i="3"/>
  <c r="AM100" i="3" s="1"/>
  <c r="H3" i="3"/>
  <c r="AM3" i="3" s="1"/>
  <c r="Z71" i="14"/>
  <c r="AB71" i="14"/>
  <c r="AC71" i="14"/>
  <c r="AA71" i="14"/>
  <c r="N38" i="16"/>
  <c r="O87" i="16"/>
  <c r="AA23" i="14"/>
  <c r="AC38" i="14"/>
  <c r="AB23" i="14"/>
  <c r="Z23" i="14"/>
  <c r="AA38" i="14"/>
  <c r="AB38" i="14"/>
  <c r="AC23" i="14"/>
  <c r="M38" i="16"/>
  <c r="O38" i="16"/>
  <c r="P38" i="16"/>
  <c r="N87" i="16"/>
  <c r="L87" i="16"/>
  <c r="L88" i="16" s="1"/>
  <c r="AA73" i="14" l="1"/>
  <c r="AC73" i="14"/>
  <c r="AB73" i="14"/>
  <c r="Z73" i="14"/>
  <c r="M163" i="9"/>
  <c r="M162" i="9"/>
  <c r="M161" i="9"/>
  <c r="J19" i="3"/>
  <c r="L12" i="11" l="1"/>
  <c r="I62" i="1" l="1"/>
  <c r="H64" i="1"/>
  <c r="H65" i="1"/>
  <c r="H66" i="1"/>
  <c r="H67" i="1"/>
  <c r="H68" i="1"/>
  <c r="H69" i="1"/>
  <c r="H70" i="1"/>
  <c r="H71" i="1"/>
  <c r="G62" i="1"/>
  <c r="K55" i="1"/>
  <c r="J55" i="1"/>
  <c r="I55" i="1"/>
  <c r="H60" i="1"/>
  <c r="H59" i="1"/>
  <c r="H58" i="1"/>
  <c r="H57" i="1"/>
  <c r="H56" i="1"/>
  <c r="G55" i="1"/>
  <c r="J51" i="1"/>
  <c r="K51" i="1"/>
  <c r="O10" i="10"/>
  <c r="O11" i="10"/>
  <c r="O12" i="10"/>
  <c r="O13" i="10"/>
  <c r="O14" i="10"/>
  <c r="O15" i="10"/>
  <c r="O16" i="10"/>
  <c r="O17" i="10"/>
  <c r="O18" i="10"/>
  <c r="O19" i="10"/>
  <c r="O20" i="10"/>
  <c r="O21" i="10"/>
  <c r="O22" i="10"/>
  <c r="O23" i="10"/>
  <c r="O24" i="10"/>
  <c r="O25" i="10"/>
  <c r="O26" i="10"/>
  <c r="O27" i="10"/>
  <c r="O28" i="10"/>
  <c r="N10" i="10"/>
  <c r="N11" i="10"/>
  <c r="N12" i="10"/>
  <c r="N13" i="10"/>
  <c r="N14" i="10"/>
  <c r="N15" i="10"/>
  <c r="N16" i="10"/>
  <c r="N17" i="10"/>
  <c r="N18" i="10"/>
  <c r="N19" i="10"/>
  <c r="N20" i="10"/>
  <c r="N21" i="10"/>
  <c r="N22" i="10"/>
  <c r="N23" i="10"/>
  <c r="N24" i="10"/>
  <c r="N25" i="10"/>
  <c r="N26" i="10"/>
  <c r="N27" i="10"/>
  <c r="N28" i="10"/>
  <c r="M10" i="10"/>
  <c r="M11" i="10"/>
  <c r="M12" i="10"/>
  <c r="M13" i="10"/>
  <c r="M14" i="10"/>
  <c r="M15" i="10"/>
  <c r="M16" i="10"/>
  <c r="M17" i="10"/>
  <c r="M18" i="10"/>
  <c r="M19" i="10"/>
  <c r="M20" i="10"/>
  <c r="M21" i="10"/>
  <c r="M22" i="10"/>
  <c r="M23" i="10"/>
  <c r="M24" i="10"/>
  <c r="M25" i="10"/>
  <c r="M26" i="10"/>
  <c r="M27" i="10"/>
  <c r="M28" i="10"/>
  <c r="L10" i="10"/>
  <c r="L11" i="10"/>
  <c r="L12" i="10"/>
  <c r="L13" i="10"/>
  <c r="L14" i="10"/>
  <c r="L15" i="10"/>
  <c r="L16" i="10"/>
  <c r="L17" i="10"/>
  <c r="L18" i="10"/>
  <c r="L19" i="10"/>
  <c r="L20" i="10"/>
  <c r="L21" i="10"/>
  <c r="L22" i="10"/>
  <c r="L23" i="10"/>
  <c r="L24" i="10"/>
  <c r="L25" i="10"/>
  <c r="L26" i="10"/>
  <c r="L27" i="10"/>
  <c r="L28" i="10"/>
  <c r="P9" i="10"/>
  <c r="O9" i="10"/>
  <c r="N9" i="10"/>
  <c r="M9" i="10"/>
  <c r="L9" i="10"/>
  <c r="H54" i="1"/>
  <c r="H53" i="1"/>
  <c r="H52" i="1"/>
  <c r="H50" i="1"/>
  <c r="P162" i="9"/>
  <c r="P163" i="9"/>
  <c r="P164" i="9"/>
  <c r="P165" i="9"/>
  <c r="P166" i="9"/>
  <c r="P167" i="9"/>
  <c r="P168" i="9"/>
  <c r="P169" i="9"/>
  <c r="P170" i="9"/>
  <c r="P171" i="9"/>
  <c r="P172" i="9"/>
  <c r="P173" i="9"/>
  <c r="P174" i="9"/>
  <c r="P175" i="9"/>
  <c r="P176" i="9"/>
  <c r="O162" i="9"/>
  <c r="O163" i="9"/>
  <c r="O164" i="9"/>
  <c r="O165" i="9"/>
  <c r="O166" i="9"/>
  <c r="O167" i="9"/>
  <c r="O168" i="9"/>
  <c r="O169" i="9"/>
  <c r="O170" i="9"/>
  <c r="O171" i="9"/>
  <c r="O172" i="9"/>
  <c r="O173" i="9"/>
  <c r="O174" i="9"/>
  <c r="O175" i="9"/>
  <c r="O176" i="9"/>
  <c r="N162" i="9"/>
  <c r="N163" i="9"/>
  <c r="N164" i="9"/>
  <c r="N165" i="9"/>
  <c r="N166" i="9"/>
  <c r="N167" i="9"/>
  <c r="N168" i="9"/>
  <c r="N169" i="9"/>
  <c r="N170" i="9"/>
  <c r="N171" i="9"/>
  <c r="N172" i="9"/>
  <c r="N173" i="9"/>
  <c r="N174" i="9"/>
  <c r="N175" i="9"/>
  <c r="N176" i="9"/>
  <c r="M164" i="9"/>
  <c r="M165" i="9"/>
  <c r="M166" i="9"/>
  <c r="M167" i="9"/>
  <c r="M168" i="9"/>
  <c r="M169" i="9"/>
  <c r="M170" i="9"/>
  <c r="M171" i="9"/>
  <c r="M172" i="9"/>
  <c r="M173" i="9"/>
  <c r="M174" i="9"/>
  <c r="M175" i="9"/>
  <c r="M176" i="9"/>
  <c r="P161" i="9"/>
  <c r="O161" i="9"/>
  <c r="N161" i="9"/>
  <c r="L162" i="9"/>
  <c r="L163" i="9"/>
  <c r="L164" i="9"/>
  <c r="L165" i="9"/>
  <c r="L166" i="9"/>
  <c r="L167" i="9"/>
  <c r="L168" i="9"/>
  <c r="L169" i="9"/>
  <c r="L170" i="9"/>
  <c r="L171" i="9"/>
  <c r="L172" i="9"/>
  <c r="L173" i="9"/>
  <c r="L174" i="9"/>
  <c r="L175" i="9"/>
  <c r="L176" i="9"/>
  <c r="L161" i="9"/>
  <c r="P133" i="9"/>
  <c r="P157" i="9"/>
  <c r="O133" i="9"/>
  <c r="O157" i="9"/>
  <c r="N133" i="9"/>
  <c r="N157" i="9"/>
  <c r="M133" i="9"/>
  <c r="M157" i="9"/>
  <c r="L133" i="9"/>
  <c r="L134" i="9"/>
  <c r="L135" i="9"/>
  <c r="L136" i="9"/>
  <c r="L137" i="9"/>
  <c r="L138" i="9"/>
  <c r="L139" i="9"/>
  <c r="L140" i="9"/>
  <c r="L141" i="9"/>
  <c r="L142" i="9"/>
  <c r="L143" i="9"/>
  <c r="L144" i="9"/>
  <c r="L145" i="9"/>
  <c r="L146" i="9"/>
  <c r="L147" i="9"/>
  <c r="L148" i="9"/>
  <c r="L149" i="9"/>
  <c r="L150" i="9"/>
  <c r="L151" i="9"/>
  <c r="L152" i="9"/>
  <c r="L153" i="9"/>
  <c r="L154" i="9"/>
  <c r="L155" i="9"/>
  <c r="L156" i="9"/>
  <c r="L157" i="9"/>
  <c r="L158" i="9"/>
  <c r="L159" i="9"/>
  <c r="P132" i="9"/>
  <c r="O132" i="9"/>
  <c r="N132" i="9"/>
  <c r="M132" i="9"/>
  <c r="L132" i="9"/>
  <c r="M27" i="9"/>
  <c r="P8" i="9"/>
  <c r="P9" i="9"/>
  <c r="P10" i="9"/>
  <c r="P11" i="9"/>
  <c r="P13" i="9"/>
  <c r="P14" i="9"/>
  <c r="P24" i="9"/>
  <c r="P26" i="9"/>
  <c r="P27" i="9"/>
  <c r="P29" i="9"/>
  <c r="P30" i="9"/>
  <c r="P34" i="9"/>
  <c r="P59" i="9"/>
  <c r="P89" i="9"/>
  <c r="P90" i="9"/>
  <c r="P94" i="9"/>
  <c r="P96" i="9"/>
  <c r="P97" i="9"/>
  <c r="P98" i="9"/>
  <c r="P99" i="9"/>
  <c r="P101" i="9"/>
  <c r="P118" i="9"/>
  <c r="P119" i="9"/>
  <c r="P120" i="9"/>
  <c r="P121" i="9"/>
  <c r="P122" i="9"/>
  <c r="P123" i="9"/>
  <c r="P124" i="9"/>
  <c r="P125" i="9"/>
  <c r="P126" i="9"/>
  <c r="P127" i="9"/>
  <c r="P128" i="9"/>
  <c r="P129" i="9"/>
  <c r="O8" i="9"/>
  <c r="O9" i="9"/>
  <c r="O10" i="9"/>
  <c r="O13" i="9"/>
  <c r="O14" i="9"/>
  <c r="O24" i="9"/>
  <c r="O26" i="9"/>
  <c r="O27" i="9"/>
  <c r="O29" i="9"/>
  <c r="O30" i="9"/>
  <c r="O34" i="9"/>
  <c r="O59" i="9"/>
  <c r="O89" i="9"/>
  <c r="O90" i="9"/>
  <c r="O92" i="9"/>
  <c r="O94" i="9"/>
  <c r="O96" i="9"/>
  <c r="O97" i="9"/>
  <c r="O98" i="9"/>
  <c r="O99" i="9"/>
  <c r="O101" i="9"/>
  <c r="O118" i="9"/>
  <c r="O119" i="9"/>
  <c r="O120" i="9"/>
  <c r="O121" i="9"/>
  <c r="O122" i="9"/>
  <c r="O123" i="9"/>
  <c r="O124" i="9"/>
  <c r="O125" i="9"/>
  <c r="O126" i="9"/>
  <c r="O127" i="9"/>
  <c r="O128" i="9"/>
  <c r="O129" i="9"/>
  <c r="N5" i="9"/>
  <c r="N6" i="9"/>
  <c r="N7" i="9"/>
  <c r="N8" i="9"/>
  <c r="N9" i="9"/>
  <c r="N10" i="9"/>
  <c r="N11" i="9"/>
  <c r="N13" i="9"/>
  <c r="N14" i="9"/>
  <c r="N24" i="9"/>
  <c r="N26" i="9"/>
  <c r="N27" i="9"/>
  <c r="N29" i="9"/>
  <c r="N30" i="9"/>
  <c r="N34" i="9"/>
  <c r="N59" i="9"/>
  <c r="N89" i="9"/>
  <c r="N90" i="9"/>
  <c r="N92" i="9"/>
  <c r="N94" i="9"/>
  <c r="N96" i="9"/>
  <c r="N97" i="9"/>
  <c r="N98" i="9"/>
  <c r="N99" i="9"/>
  <c r="N101" i="9"/>
  <c r="N118" i="9"/>
  <c r="N119" i="9"/>
  <c r="N120" i="9"/>
  <c r="N121" i="9"/>
  <c r="N122" i="9"/>
  <c r="N123" i="9"/>
  <c r="N124" i="9"/>
  <c r="N125" i="9"/>
  <c r="N126" i="9"/>
  <c r="N127" i="9"/>
  <c r="N128" i="9"/>
  <c r="N129" i="9"/>
  <c r="M5" i="9"/>
  <c r="M6" i="9"/>
  <c r="M7" i="9"/>
  <c r="M8" i="9"/>
  <c r="M9" i="9"/>
  <c r="M10" i="9"/>
  <c r="M13" i="9"/>
  <c r="M14" i="9"/>
  <c r="M24" i="9"/>
  <c r="M26" i="9"/>
  <c r="M29" i="9"/>
  <c r="M30" i="9"/>
  <c r="M34" i="9"/>
  <c r="M59" i="9"/>
  <c r="M89" i="9"/>
  <c r="M90" i="9"/>
  <c r="M92" i="9"/>
  <c r="M94" i="9"/>
  <c r="M96" i="9"/>
  <c r="M97" i="9"/>
  <c r="M98" i="9"/>
  <c r="M99" i="9"/>
  <c r="M101" i="9"/>
  <c r="M118" i="9"/>
  <c r="M119" i="9"/>
  <c r="M120" i="9"/>
  <c r="M121" i="9"/>
  <c r="M122" i="9"/>
  <c r="M123" i="9"/>
  <c r="M124" i="9"/>
  <c r="M125" i="9"/>
  <c r="M126" i="9"/>
  <c r="M127" i="9"/>
  <c r="M128" i="9"/>
  <c r="M129" i="9"/>
  <c r="L5" i="9"/>
  <c r="L6" i="9"/>
  <c r="L7" i="9"/>
  <c r="L8" i="9"/>
  <c r="L9" i="9"/>
  <c r="L10" i="9"/>
  <c r="L11" i="9"/>
  <c r="L12" i="9"/>
  <c r="L13" i="9"/>
  <c r="L14"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N4" i="9"/>
  <c r="M4" i="9"/>
  <c r="H45" i="1"/>
  <c r="H44" i="1"/>
  <c r="H43" i="1"/>
  <c r="H42" i="1"/>
  <c r="H41" i="1"/>
  <c r="H39" i="1"/>
  <c r="H38" i="1"/>
  <c r="H37" i="1"/>
  <c r="H36" i="1"/>
  <c r="H35" i="1"/>
  <c r="H34" i="1"/>
  <c r="H33" i="1"/>
  <c r="H32" i="1"/>
  <c r="H31" i="1"/>
  <c r="H30" i="1"/>
  <c r="H28" i="1"/>
  <c r="H27" i="1"/>
  <c r="H26" i="1"/>
  <c r="H25" i="1"/>
  <c r="H23" i="1"/>
  <c r="H22" i="1"/>
  <c r="AE120" i="3"/>
  <c r="AG120" i="3"/>
  <c r="AG121" i="3"/>
  <c r="AG122" i="3"/>
  <c r="AG119" i="3"/>
  <c r="AF120" i="3"/>
  <c r="AF121" i="3"/>
  <c r="AF122" i="3"/>
  <c r="AF119" i="3"/>
  <c r="H21" i="1"/>
  <c r="H20" i="1"/>
  <c r="H18" i="1"/>
  <c r="H17" i="1"/>
  <c r="H16" i="1"/>
  <c r="H15" i="1"/>
  <c r="H14" i="1"/>
  <c r="H13" i="1"/>
  <c r="H12" i="1"/>
  <c r="H11" i="1"/>
  <c r="H10" i="1"/>
  <c r="H9" i="1"/>
  <c r="H8" i="1"/>
  <c r="H62" i="1" l="1"/>
  <c r="I80" i="1"/>
  <c r="K80" i="1"/>
  <c r="J80" i="1"/>
  <c r="L160" i="9"/>
  <c r="P160" i="9"/>
  <c r="M160" i="9"/>
  <c r="O160" i="9"/>
  <c r="N160" i="9"/>
  <c r="L131" i="9"/>
  <c r="H55" i="1"/>
  <c r="H51" i="1"/>
  <c r="H46" i="1"/>
  <c r="H19" i="1"/>
  <c r="H7" i="1"/>
  <c r="AI5" i="3"/>
  <c r="AI6" i="3"/>
  <c r="AI7" i="3"/>
  <c r="AI8" i="3"/>
  <c r="AI9" i="3"/>
  <c r="AI4" i="3"/>
  <c r="AH5" i="3"/>
  <c r="AH6" i="3"/>
  <c r="AH7" i="3"/>
  <c r="AH8" i="3"/>
  <c r="AH9" i="3"/>
  <c r="AH4" i="3"/>
  <c r="AG5" i="3"/>
  <c r="AG6" i="3"/>
  <c r="AG7" i="3"/>
  <c r="AG8" i="3"/>
  <c r="AG9" i="3"/>
  <c r="AG4" i="3"/>
  <c r="AF5" i="3"/>
  <c r="AF6" i="3"/>
  <c r="AF7" i="3"/>
  <c r="AF8" i="3"/>
  <c r="AF9" i="3"/>
  <c r="AF4" i="3"/>
  <c r="H6" i="1"/>
  <c r="AI137" i="3"/>
  <c r="AH137" i="3"/>
  <c r="AG137" i="3"/>
  <c r="AF137" i="3"/>
  <c r="G40" i="1"/>
  <c r="G29" i="1"/>
  <c r="G5" i="1"/>
  <c r="H5" i="1" l="1"/>
  <c r="H80" i="1" s="1"/>
  <c r="AG3" i="3"/>
  <c r="AH3" i="3"/>
  <c r="AF3" i="3"/>
  <c r="P204" i="4"/>
  <c r="O204" i="4"/>
  <c r="N204" i="4"/>
  <c r="M204" i="4"/>
  <c r="L204" i="4"/>
  <c r="P203" i="4"/>
  <c r="O203" i="4"/>
  <c r="N203" i="4"/>
  <c r="M203" i="4"/>
  <c r="L203" i="4"/>
  <c r="P202" i="4"/>
  <c r="O202" i="4"/>
  <c r="N202" i="4"/>
  <c r="M202" i="4"/>
  <c r="L202" i="4"/>
  <c r="P201" i="4"/>
  <c r="O201" i="4"/>
  <c r="N201" i="4"/>
  <c r="M201" i="4"/>
  <c r="L201" i="4"/>
  <c r="P200" i="4"/>
  <c r="O200" i="4"/>
  <c r="N200" i="4"/>
  <c r="M200" i="4"/>
  <c r="L200" i="4"/>
  <c r="P199" i="4"/>
  <c r="O199" i="4"/>
  <c r="N199" i="4"/>
  <c r="M199" i="4"/>
  <c r="L199" i="4"/>
  <c r="P198" i="4"/>
  <c r="O198" i="4"/>
  <c r="N198" i="4"/>
  <c r="M198" i="4"/>
  <c r="L198" i="4"/>
  <c r="P197" i="4"/>
  <c r="O197" i="4"/>
  <c r="N197" i="4"/>
  <c r="M197" i="4"/>
  <c r="L197" i="4"/>
  <c r="P196" i="4"/>
  <c r="O196" i="4"/>
  <c r="N196" i="4"/>
  <c r="M196" i="4"/>
  <c r="L196" i="4"/>
  <c r="P195" i="4"/>
  <c r="O195" i="4"/>
  <c r="N195" i="4"/>
  <c r="M195" i="4"/>
  <c r="L195" i="4"/>
  <c r="P194" i="4"/>
  <c r="O194" i="4"/>
  <c r="N194" i="4"/>
  <c r="M194" i="4"/>
  <c r="L194" i="4"/>
  <c r="P193" i="4"/>
  <c r="O193" i="4"/>
  <c r="N193" i="4"/>
  <c r="M193" i="4"/>
  <c r="L193" i="4"/>
  <c r="P192" i="4"/>
  <c r="O192" i="4"/>
  <c r="N192" i="4"/>
  <c r="M192" i="4"/>
  <c r="L192" i="4"/>
  <c r="P191" i="4"/>
  <c r="O191" i="4"/>
  <c r="N191" i="4"/>
  <c r="M191" i="4"/>
  <c r="L191" i="4"/>
  <c r="P190" i="4"/>
  <c r="O190" i="4"/>
  <c r="N190" i="4"/>
  <c r="M190" i="4"/>
  <c r="L190" i="4"/>
  <c r="P189" i="4"/>
  <c r="O189" i="4"/>
  <c r="N189" i="4"/>
  <c r="M189" i="4"/>
  <c r="L189" i="4"/>
  <c r="P188" i="4"/>
  <c r="O188" i="4"/>
  <c r="N188" i="4"/>
  <c r="M188" i="4"/>
  <c r="L188" i="4"/>
  <c r="P187" i="4"/>
  <c r="O187" i="4"/>
  <c r="N187" i="4"/>
  <c r="M187" i="4"/>
  <c r="L187" i="4"/>
  <c r="P186" i="4"/>
  <c r="O186" i="4"/>
  <c r="N186" i="4"/>
  <c r="M186" i="4"/>
  <c r="L186" i="4"/>
  <c r="P185" i="4"/>
  <c r="O185" i="4"/>
  <c r="N185" i="4"/>
  <c r="M185" i="4"/>
  <c r="L185" i="4"/>
  <c r="P184" i="4"/>
  <c r="O184" i="4"/>
  <c r="N184" i="4"/>
  <c r="M184" i="4"/>
  <c r="L184" i="4"/>
  <c r="P183" i="4"/>
  <c r="O183" i="4"/>
  <c r="N183" i="4"/>
  <c r="M183" i="4"/>
  <c r="L183" i="4"/>
  <c r="P182" i="4"/>
  <c r="O182" i="4"/>
  <c r="N182" i="4"/>
  <c r="M182" i="4"/>
  <c r="L182" i="4"/>
  <c r="P181" i="4"/>
  <c r="O181" i="4"/>
  <c r="N181" i="4"/>
  <c r="M181" i="4"/>
  <c r="L181" i="4"/>
  <c r="P180" i="4"/>
  <c r="O180" i="4"/>
  <c r="N180" i="4"/>
  <c r="M180" i="4"/>
  <c r="L180" i="4"/>
  <c r="P179" i="4"/>
  <c r="O179" i="4"/>
  <c r="N179" i="4"/>
  <c r="M179" i="4"/>
  <c r="L179" i="4"/>
  <c r="P178" i="4"/>
  <c r="O178" i="4"/>
  <c r="N178" i="4"/>
  <c r="M178" i="4"/>
  <c r="L178" i="4"/>
  <c r="P177" i="4"/>
  <c r="O177" i="4"/>
  <c r="N177" i="4"/>
  <c r="M177" i="4"/>
  <c r="L177" i="4"/>
  <c r="P176" i="4"/>
  <c r="O176" i="4"/>
  <c r="N176" i="4"/>
  <c r="M176" i="4"/>
  <c r="L176" i="4"/>
  <c r="P175" i="4"/>
  <c r="O175" i="4"/>
  <c r="N175" i="4"/>
  <c r="M175" i="4"/>
  <c r="L175" i="4"/>
  <c r="P174" i="4"/>
  <c r="O174" i="4"/>
  <c r="N174" i="4"/>
  <c r="M174" i="4"/>
  <c r="L174" i="4"/>
  <c r="P173" i="4"/>
  <c r="O173" i="4"/>
  <c r="N173" i="4"/>
  <c r="M173" i="4"/>
  <c r="L173" i="4"/>
  <c r="P172" i="4"/>
  <c r="O172" i="4"/>
  <c r="N172" i="4"/>
  <c r="M172" i="4"/>
  <c r="L172" i="4"/>
  <c r="P171" i="4"/>
  <c r="O171" i="4"/>
  <c r="N171" i="4"/>
  <c r="M171" i="4"/>
  <c r="L171" i="4"/>
  <c r="P170" i="4"/>
  <c r="O170" i="4"/>
  <c r="N170" i="4"/>
  <c r="M170" i="4"/>
  <c r="L170" i="4"/>
  <c r="P169" i="4"/>
  <c r="O169" i="4"/>
  <c r="N169" i="4"/>
  <c r="M169" i="4"/>
  <c r="L169" i="4"/>
  <c r="P168" i="4"/>
  <c r="O168" i="4"/>
  <c r="N168" i="4"/>
  <c r="M168" i="4"/>
  <c r="L168" i="4"/>
  <c r="P167" i="4"/>
  <c r="O167" i="4"/>
  <c r="N167" i="4"/>
  <c r="M167" i="4"/>
  <c r="L167" i="4"/>
  <c r="P166" i="4"/>
  <c r="O166" i="4"/>
  <c r="N166" i="4"/>
  <c r="M166" i="4"/>
  <c r="L166" i="4"/>
  <c r="P165" i="4"/>
  <c r="O165" i="4"/>
  <c r="N165" i="4"/>
  <c r="M165" i="4"/>
  <c r="L165" i="4"/>
  <c r="P164" i="4"/>
  <c r="O164" i="4"/>
  <c r="N164" i="4"/>
  <c r="M164" i="4"/>
  <c r="L164" i="4"/>
  <c r="P163" i="4"/>
  <c r="O163" i="4"/>
  <c r="N163" i="4"/>
  <c r="M163" i="4"/>
  <c r="L163" i="4"/>
  <c r="P162" i="4"/>
  <c r="O162" i="4"/>
  <c r="N162" i="4"/>
  <c r="M162" i="4"/>
  <c r="L162" i="4"/>
  <c r="P161" i="4"/>
  <c r="O161" i="4"/>
  <c r="N161" i="4"/>
  <c r="M161" i="4"/>
  <c r="L161" i="4"/>
  <c r="P160" i="4"/>
  <c r="O160" i="4"/>
  <c r="N160" i="4"/>
  <c r="M160" i="4"/>
  <c r="L160" i="4"/>
  <c r="P159" i="4"/>
  <c r="O159" i="4"/>
  <c r="N159" i="4"/>
  <c r="M159" i="4"/>
  <c r="L159" i="4"/>
  <c r="P158" i="4"/>
  <c r="O158" i="4"/>
  <c r="N158" i="4"/>
  <c r="M158" i="4"/>
  <c r="L158" i="4"/>
  <c r="P157" i="4"/>
  <c r="O157" i="4"/>
  <c r="N157" i="4"/>
  <c r="M157" i="4"/>
  <c r="L157" i="4"/>
  <c r="P156" i="4"/>
  <c r="O156" i="4"/>
  <c r="N156" i="4"/>
  <c r="M156" i="4"/>
  <c r="L156" i="4"/>
  <c r="P155" i="4"/>
  <c r="O155" i="4"/>
  <c r="N155" i="4"/>
  <c r="M155" i="4"/>
  <c r="L155" i="4"/>
  <c r="P154" i="4"/>
  <c r="O154" i="4"/>
  <c r="N154" i="4"/>
  <c r="M154" i="4"/>
  <c r="L154" i="4"/>
  <c r="P153" i="4"/>
  <c r="O153" i="4"/>
  <c r="N153" i="4"/>
  <c r="M153" i="4"/>
  <c r="L153" i="4"/>
  <c r="P152" i="4"/>
  <c r="O152" i="4"/>
  <c r="N152" i="4"/>
  <c r="M152" i="4"/>
  <c r="L152" i="4"/>
  <c r="P151" i="4"/>
  <c r="O151" i="4"/>
  <c r="N151" i="4"/>
  <c r="M151" i="4"/>
  <c r="L151" i="4"/>
  <c r="P150" i="4"/>
  <c r="O150" i="4"/>
  <c r="N150" i="4"/>
  <c r="M150" i="4"/>
  <c r="L150" i="4"/>
  <c r="P149" i="4"/>
  <c r="O149" i="4"/>
  <c r="N149" i="4"/>
  <c r="M149" i="4"/>
  <c r="L149" i="4"/>
  <c r="P148" i="4"/>
  <c r="O148" i="4"/>
  <c r="N148" i="4"/>
  <c r="M148" i="4"/>
  <c r="L148" i="4"/>
  <c r="P147" i="4"/>
  <c r="O147" i="4"/>
  <c r="N147" i="4"/>
  <c r="M147" i="4"/>
  <c r="L147" i="4"/>
  <c r="P146" i="4"/>
  <c r="O146" i="4"/>
  <c r="N146" i="4"/>
  <c r="M146" i="4"/>
  <c r="L146" i="4"/>
  <c r="P145" i="4"/>
  <c r="O145" i="4"/>
  <c r="N145" i="4"/>
  <c r="M145" i="4"/>
  <c r="L145" i="4"/>
  <c r="P144" i="4"/>
  <c r="O144" i="4"/>
  <c r="N144" i="4"/>
  <c r="M144" i="4"/>
  <c r="L144" i="4"/>
  <c r="P143" i="4"/>
  <c r="O143" i="4"/>
  <c r="N143" i="4"/>
  <c r="M143" i="4"/>
  <c r="L143" i="4"/>
  <c r="P142" i="4"/>
  <c r="O142" i="4"/>
  <c r="N142" i="4"/>
  <c r="M142" i="4"/>
  <c r="L142" i="4"/>
  <c r="P141" i="4"/>
  <c r="O141" i="4"/>
  <c r="N141" i="4"/>
  <c r="M141" i="4"/>
  <c r="L141" i="4"/>
  <c r="P140" i="4"/>
  <c r="O140" i="4"/>
  <c r="N140" i="4"/>
  <c r="M140" i="4"/>
  <c r="L140" i="4"/>
  <c r="P139" i="4"/>
  <c r="O139" i="4"/>
  <c r="N139" i="4"/>
  <c r="M139" i="4"/>
  <c r="L139" i="4"/>
  <c r="P138" i="4"/>
  <c r="O138" i="4"/>
  <c r="N138" i="4"/>
  <c r="M138" i="4"/>
  <c r="L138" i="4"/>
  <c r="P137" i="4"/>
  <c r="O137" i="4"/>
  <c r="N137" i="4"/>
  <c r="M137" i="4"/>
  <c r="L137" i="4"/>
  <c r="P136" i="4"/>
  <c r="O136" i="4"/>
  <c r="N136" i="4"/>
  <c r="M136" i="4"/>
  <c r="L136" i="4"/>
  <c r="P135" i="4"/>
  <c r="O135" i="4"/>
  <c r="N135" i="4"/>
  <c r="M135" i="4"/>
  <c r="L135" i="4"/>
  <c r="P134" i="4"/>
  <c r="O134" i="4"/>
  <c r="N134" i="4"/>
  <c r="M134" i="4"/>
  <c r="L134" i="4"/>
  <c r="P133" i="4"/>
  <c r="O133" i="4"/>
  <c r="N133" i="4"/>
  <c r="M133" i="4"/>
  <c r="L133" i="4"/>
  <c r="P132" i="4"/>
  <c r="O132" i="4"/>
  <c r="N132" i="4"/>
  <c r="M132" i="4"/>
  <c r="L132" i="4"/>
  <c r="P131" i="4"/>
  <c r="O131" i="4"/>
  <c r="N131" i="4"/>
  <c r="M131" i="4"/>
  <c r="L131" i="4"/>
  <c r="P130" i="4"/>
  <c r="O130" i="4"/>
  <c r="N130" i="4"/>
  <c r="M130" i="4"/>
  <c r="L130" i="4"/>
  <c r="P129" i="4"/>
  <c r="O129" i="4"/>
  <c r="N129" i="4"/>
  <c r="M129" i="4"/>
  <c r="L129" i="4"/>
  <c r="P128" i="4"/>
  <c r="O128" i="4"/>
  <c r="N128" i="4"/>
  <c r="M128" i="4"/>
  <c r="L128" i="4"/>
  <c r="P127" i="4"/>
  <c r="O127" i="4"/>
  <c r="N127" i="4"/>
  <c r="M127" i="4"/>
  <c r="L127" i="4"/>
  <c r="P126" i="4"/>
  <c r="O126" i="4"/>
  <c r="N126" i="4"/>
  <c r="M126" i="4"/>
  <c r="L126" i="4"/>
  <c r="P125" i="4"/>
  <c r="O125" i="4"/>
  <c r="N125" i="4"/>
  <c r="M125" i="4"/>
  <c r="L125" i="4"/>
  <c r="P124" i="4"/>
  <c r="O124" i="4"/>
  <c r="N124" i="4"/>
  <c r="M124" i="4"/>
  <c r="L124" i="4"/>
  <c r="P123" i="4"/>
  <c r="O123" i="4"/>
  <c r="N123" i="4"/>
  <c r="M123" i="4"/>
  <c r="L123" i="4"/>
  <c r="P122" i="4"/>
  <c r="O122" i="4"/>
  <c r="N122" i="4"/>
  <c r="M122" i="4"/>
  <c r="L122" i="4"/>
  <c r="P121" i="4"/>
  <c r="O121" i="4"/>
  <c r="N121" i="4"/>
  <c r="M121" i="4"/>
  <c r="L121" i="4"/>
  <c r="P120" i="4"/>
  <c r="O120" i="4"/>
  <c r="N120" i="4"/>
  <c r="M120" i="4"/>
  <c r="L120" i="4"/>
  <c r="P119" i="4"/>
  <c r="O119" i="4"/>
  <c r="N119" i="4"/>
  <c r="M119" i="4"/>
  <c r="L119" i="4"/>
  <c r="P118" i="4"/>
  <c r="O118" i="4"/>
  <c r="N118" i="4"/>
  <c r="M118" i="4"/>
  <c r="L118" i="4"/>
  <c r="P117" i="4"/>
  <c r="O117" i="4"/>
  <c r="N117" i="4"/>
  <c r="M117" i="4"/>
  <c r="L117" i="4"/>
  <c r="P116" i="4"/>
  <c r="O116" i="4"/>
  <c r="N116" i="4"/>
  <c r="M116" i="4"/>
  <c r="L116" i="4"/>
  <c r="P115" i="4"/>
  <c r="O115" i="4"/>
  <c r="N115" i="4"/>
  <c r="M115" i="4"/>
  <c r="L115" i="4"/>
  <c r="P114" i="4"/>
  <c r="O114" i="4"/>
  <c r="N114" i="4"/>
  <c r="M114" i="4"/>
  <c r="L114" i="4"/>
  <c r="P113" i="4"/>
  <c r="O113" i="4"/>
  <c r="N113" i="4"/>
  <c r="M113" i="4"/>
  <c r="L113" i="4"/>
  <c r="P112" i="4"/>
  <c r="O112" i="4"/>
  <c r="N112" i="4"/>
  <c r="M112" i="4"/>
  <c r="L112" i="4"/>
  <c r="P111" i="4"/>
  <c r="O111" i="4"/>
  <c r="N111" i="4"/>
  <c r="M111" i="4"/>
  <c r="L111" i="4"/>
  <c r="P110" i="4"/>
  <c r="O110" i="4"/>
  <c r="N110" i="4"/>
  <c r="M110" i="4"/>
  <c r="L110" i="4"/>
  <c r="P109" i="4"/>
  <c r="O109" i="4"/>
  <c r="N109" i="4"/>
  <c r="M109" i="4"/>
  <c r="L109" i="4"/>
  <c r="P108" i="4"/>
  <c r="O108" i="4"/>
  <c r="N108" i="4"/>
  <c r="M108" i="4"/>
  <c r="L108" i="4"/>
  <c r="P107" i="4"/>
  <c r="O107" i="4"/>
  <c r="N107" i="4"/>
  <c r="M107" i="4"/>
  <c r="L107" i="4"/>
  <c r="P106" i="4"/>
  <c r="O106" i="4"/>
  <c r="N106" i="4"/>
  <c r="M106" i="4"/>
  <c r="L106" i="4"/>
  <c r="P105" i="4"/>
  <c r="O105" i="4"/>
  <c r="N105" i="4"/>
  <c r="M105" i="4"/>
  <c r="L105" i="4"/>
  <c r="P104" i="4"/>
  <c r="O104" i="4"/>
  <c r="N104" i="4"/>
  <c r="M104" i="4"/>
  <c r="L104" i="4"/>
  <c r="P103" i="4"/>
  <c r="O103" i="4"/>
  <c r="N103" i="4"/>
  <c r="M103" i="4"/>
  <c r="L103" i="4"/>
  <c r="P102" i="4"/>
  <c r="O102" i="4"/>
  <c r="N102" i="4"/>
  <c r="M102" i="4"/>
  <c r="L102" i="4"/>
  <c r="P101" i="4"/>
  <c r="O101" i="4"/>
  <c r="N101" i="4"/>
  <c r="M101" i="4"/>
  <c r="L101" i="4"/>
  <c r="P100" i="4"/>
  <c r="O100" i="4"/>
  <c r="N100" i="4"/>
  <c r="M100" i="4"/>
  <c r="L100" i="4"/>
  <c r="P99" i="4"/>
  <c r="O99" i="4"/>
  <c r="N99" i="4"/>
  <c r="M99" i="4"/>
  <c r="L99" i="4"/>
  <c r="P98" i="4"/>
  <c r="O98" i="4"/>
  <c r="N98" i="4"/>
  <c r="M98" i="4"/>
  <c r="L98" i="4"/>
  <c r="P97" i="4"/>
  <c r="O97" i="4"/>
  <c r="N97" i="4"/>
  <c r="M97" i="4"/>
  <c r="L97" i="4"/>
  <c r="P96" i="4"/>
  <c r="O96" i="4"/>
  <c r="N96" i="4"/>
  <c r="M96" i="4"/>
  <c r="L96" i="4"/>
  <c r="P95" i="4"/>
  <c r="O95" i="4"/>
  <c r="N95" i="4"/>
  <c r="M95" i="4"/>
  <c r="L95" i="4"/>
  <c r="P94" i="4"/>
  <c r="O94" i="4"/>
  <c r="N94" i="4"/>
  <c r="M94" i="4"/>
  <c r="L94" i="4"/>
  <c r="P93" i="4"/>
  <c r="O93" i="4"/>
  <c r="N93" i="4"/>
  <c r="M93" i="4"/>
  <c r="L93" i="4"/>
  <c r="P92" i="4"/>
  <c r="O92" i="4"/>
  <c r="N92" i="4"/>
  <c r="M92" i="4"/>
  <c r="L92" i="4"/>
  <c r="P91" i="4"/>
  <c r="O91" i="4"/>
  <c r="N91" i="4"/>
  <c r="M91" i="4"/>
  <c r="L91" i="4"/>
  <c r="P90" i="4"/>
  <c r="O90" i="4"/>
  <c r="N90" i="4"/>
  <c r="M90" i="4"/>
  <c r="L90" i="4"/>
  <c r="P89" i="4"/>
  <c r="O89" i="4"/>
  <c r="N89" i="4"/>
  <c r="M89" i="4"/>
  <c r="L89" i="4"/>
  <c r="P88" i="4"/>
  <c r="O88" i="4"/>
  <c r="N88" i="4"/>
  <c r="M88" i="4"/>
  <c r="L88" i="4"/>
  <c r="P87" i="4"/>
  <c r="O87" i="4"/>
  <c r="N87" i="4"/>
  <c r="M87" i="4"/>
  <c r="L87" i="4"/>
  <c r="P86" i="4"/>
  <c r="O86" i="4"/>
  <c r="N86" i="4"/>
  <c r="M86" i="4"/>
  <c r="L86" i="4"/>
  <c r="P85" i="4"/>
  <c r="O85" i="4"/>
  <c r="N85" i="4"/>
  <c r="M85" i="4"/>
  <c r="L85" i="4"/>
  <c r="P84" i="4"/>
  <c r="O84" i="4"/>
  <c r="N84" i="4"/>
  <c r="M84" i="4"/>
  <c r="L84" i="4"/>
  <c r="P83" i="4"/>
  <c r="O83" i="4"/>
  <c r="N83" i="4"/>
  <c r="M83" i="4"/>
  <c r="L83" i="4"/>
  <c r="P82" i="4"/>
  <c r="O82" i="4"/>
  <c r="N82" i="4"/>
  <c r="M82" i="4"/>
  <c r="L82" i="4"/>
  <c r="P81" i="4"/>
  <c r="O81" i="4"/>
  <c r="N81" i="4"/>
  <c r="M81" i="4"/>
  <c r="L81" i="4"/>
  <c r="P80" i="4"/>
  <c r="O80" i="4"/>
  <c r="N80" i="4"/>
  <c r="M80" i="4"/>
  <c r="L80" i="4"/>
  <c r="P79" i="4"/>
  <c r="O79" i="4"/>
  <c r="N79" i="4"/>
  <c r="M79" i="4"/>
  <c r="L79" i="4"/>
  <c r="P78" i="4"/>
  <c r="O78" i="4"/>
  <c r="N78" i="4"/>
  <c r="M78" i="4"/>
  <c r="L78" i="4"/>
  <c r="P77" i="4"/>
  <c r="O77" i="4"/>
  <c r="N77" i="4"/>
  <c r="M77" i="4"/>
  <c r="L77" i="4"/>
  <c r="P76" i="4"/>
  <c r="O76" i="4"/>
  <c r="N76" i="4"/>
  <c r="M76" i="4"/>
  <c r="L76" i="4"/>
  <c r="P75" i="4"/>
  <c r="O75" i="4"/>
  <c r="N75" i="4"/>
  <c r="M75" i="4"/>
  <c r="L75" i="4"/>
  <c r="P74" i="4"/>
  <c r="O74" i="4"/>
  <c r="N74" i="4"/>
  <c r="M74" i="4"/>
  <c r="L74" i="4"/>
  <c r="P73" i="4"/>
  <c r="O73" i="4"/>
  <c r="N73" i="4"/>
  <c r="M73" i="4"/>
  <c r="L73" i="4"/>
  <c r="P72" i="4"/>
  <c r="O72" i="4"/>
  <c r="N72" i="4"/>
  <c r="M72" i="4"/>
  <c r="L72" i="4"/>
  <c r="P71" i="4"/>
  <c r="O71" i="4"/>
  <c r="N71" i="4"/>
  <c r="M71" i="4"/>
  <c r="L71" i="4"/>
  <c r="P70" i="4"/>
  <c r="O70" i="4"/>
  <c r="N70" i="4"/>
  <c r="M70" i="4"/>
  <c r="L70" i="4"/>
  <c r="P69" i="4"/>
  <c r="O69" i="4"/>
  <c r="N69" i="4"/>
  <c r="M69" i="4"/>
  <c r="L69" i="4"/>
  <c r="P68" i="4"/>
  <c r="O68" i="4"/>
  <c r="N68" i="4"/>
  <c r="M68" i="4"/>
  <c r="L68" i="4"/>
  <c r="P67" i="4"/>
  <c r="O67" i="4"/>
  <c r="N67" i="4"/>
  <c r="M67" i="4"/>
  <c r="L67" i="4"/>
  <c r="P66" i="4"/>
  <c r="O66" i="4"/>
  <c r="N66" i="4"/>
  <c r="M66" i="4"/>
  <c r="L66" i="4"/>
  <c r="P65" i="4"/>
  <c r="O65" i="4"/>
  <c r="N65" i="4"/>
  <c r="M65" i="4"/>
  <c r="L65" i="4"/>
  <c r="P64" i="4"/>
  <c r="O64" i="4"/>
  <c r="N64" i="4"/>
  <c r="M64" i="4"/>
  <c r="L64" i="4"/>
  <c r="P63" i="4"/>
  <c r="O63" i="4"/>
  <c r="N63" i="4"/>
  <c r="M63" i="4"/>
  <c r="L63" i="4"/>
  <c r="P62" i="4"/>
  <c r="O62" i="4"/>
  <c r="N62" i="4"/>
  <c r="M62" i="4"/>
  <c r="L62" i="4"/>
  <c r="P61" i="4"/>
  <c r="O61" i="4"/>
  <c r="N61" i="4"/>
  <c r="M61" i="4"/>
  <c r="L61" i="4"/>
  <c r="P60" i="4"/>
  <c r="O60" i="4"/>
  <c r="N60" i="4"/>
  <c r="M60" i="4"/>
  <c r="L60" i="4"/>
  <c r="P57" i="4"/>
  <c r="O57" i="4"/>
  <c r="N57" i="4"/>
  <c r="M57" i="4"/>
  <c r="L57" i="4"/>
  <c r="P56" i="4"/>
  <c r="O56" i="4"/>
  <c r="N56" i="4"/>
  <c r="M56" i="4"/>
  <c r="L56" i="4"/>
  <c r="P53" i="4"/>
  <c r="O53" i="4"/>
  <c r="N53" i="4"/>
  <c r="M53" i="4"/>
  <c r="D53" i="4"/>
  <c r="P52" i="4"/>
  <c r="O52" i="4"/>
  <c r="N52" i="4"/>
  <c r="M52" i="4"/>
  <c r="D52" i="4"/>
  <c r="P51" i="4"/>
  <c r="O51" i="4"/>
  <c r="N51" i="4"/>
  <c r="M51" i="4"/>
  <c r="D51" i="4"/>
  <c r="P50" i="4"/>
  <c r="O50" i="4"/>
  <c r="N50" i="4"/>
  <c r="M50" i="4"/>
  <c r="D50" i="4"/>
  <c r="P49" i="4"/>
  <c r="O49" i="4"/>
  <c r="N49" i="4"/>
  <c r="M49" i="4"/>
  <c r="D49" i="4"/>
  <c r="P48" i="4"/>
  <c r="O48" i="4"/>
  <c r="N48" i="4"/>
  <c r="M48" i="4"/>
  <c r="D48" i="4"/>
  <c r="P47" i="4"/>
  <c r="O47" i="4"/>
  <c r="N47" i="4"/>
  <c r="M47" i="4"/>
  <c r="D47" i="4"/>
  <c r="P46" i="4"/>
  <c r="O46" i="4"/>
  <c r="N46" i="4"/>
  <c r="M46" i="4"/>
  <c r="D46" i="4"/>
  <c r="P45" i="4"/>
  <c r="O45" i="4"/>
  <c r="N45" i="4"/>
  <c r="M45" i="4"/>
  <c r="D45" i="4"/>
  <c r="P44" i="4"/>
  <c r="O44" i="4"/>
  <c r="N44" i="4"/>
  <c r="M44" i="4"/>
  <c r="D44" i="4"/>
  <c r="P43" i="4"/>
  <c r="O43" i="4"/>
  <c r="N43" i="4"/>
  <c r="M43" i="4"/>
  <c r="D43" i="4"/>
  <c r="P42" i="4"/>
  <c r="O42" i="4"/>
  <c r="N42" i="4"/>
  <c r="M42" i="4"/>
  <c r="D42" i="4"/>
  <c r="P39" i="4"/>
  <c r="O39" i="4"/>
  <c r="N39" i="4"/>
  <c r="M39" i="4"/>
  <c r="D39" i="4"/>
  <c r="P38" i="4"/>
  <c r="O38" i="4"/>
  <c r="N38" i="4"/>
  <c r="M38" i="4"/>
  <c r="D38" i="4"/>
  <c r="P37" i="4"/>
  <c r="O37" i="4"/>
  <c r="N37" i="4"/>
  <c r="M37" i="4"/>
  <c r="D37" i="4"/>
  <c r="P36" i="4"/>
  <c r="O36" i="4"/>
  <c r="N36" i="4"/>
  <c r="M36" i="4"/>
  <c r="D36" i="4"/>
  <c r="P35" i="4"/>
  <c r="O35" i="4"/>
  <c r="N35" i="4"/>
  <c r="M35" i="4"/>
  <c r="D35" i="4"/>
  <c r="P34" i="4"/>
  <c r="O34" i="4"/>
  <c r="N34" i="4"/>
  <c r="M34" i="4"/>
  <c r="D34" i="4"/>
  <c r="P33" i="4"/>
  <c r="O33" i="4"/>
  <c r="N33" i="4"/>
  <c r="M33" i="4"/>
  <c r="D33" i="4"/>
  <c r="P32" i="4"/>
  <c r="O32" i="4"/>
  <c r="N32" i="4"/>
  <c r="M32" i="4"/>
  <c r="D32" i="4"/>
  <c r="P31" i="4"/>
  <c r="O31" i="4"/>
  <c r="N31" i="4"/>
  <c r="M31" i="4"/>
  <c r="D31" i="4"/>
  <c r="P30" i="4"/>
  <c r="O30" i="4"/>
  <c r="N30" i="4"/>
  <c r="M30" i="4"/>
  <c r="D30" i="4"/>
  <c r="P29" i="4"/>
  <c r="O29" i="4"/>
  <c r="N29" i="4"/>
  <c r="M29" i="4"/>
  <c r="D29" i="4"/>
  <c r="P28" i="4"/>
  <c r="O28" i="4"/>
  <c r="N28" i="4"/>
  <c r="M28" i="4"/>
  <c r="D28" i="4"/>
  <c r="P27" i="4"/>
  <c r="O27" i="4"/>
  <c r="N27" i="4"/>
  <c r="M27" i="4"/>
  <c r="D27" i="4"/>
  <c r="P26" i="4"/>
  <c r="O26" i="4"/>
  <c r="N26" i="4"/>
  <c r="M26" i="4"/>
  <c r="D26" i="4"/>
  <c r="P25" i="4"/>
  <c r="O25" i="4"/>
  <c r="N25" i="4"/>
  <c r="M25" i="4"/>
  <c r="D25" i="4"/>
  <c r="P24" i="4"/>
  <c r="O24" i="4"/>
  <c r="N24" i="4"/>
  <c r="M24" i="4"/>
  <c r="D24" i="4"/>
  <c r="P23" i="4"/>
  <c r="O23" i="4"/>
  <c r="N23" i="4"/>
  <c r="M23" i="4"/>
  <c r="D23" i="4"/>
  <c r="P22" i="4"/>
  <c r="O22" i="4"/>
  <c r="N22" i="4"/>
  <c r="M22" i="4"/>
  <c r="D22" i="4"/>
  <c r="P21" i="4"/>
  <c r="O21" i="4"/>
  <c r="N21" i="4"/>
  <c r="M21" i="4"/>
  <c r="D21" i="4"/>
  <c r="P20" i="4"/>
  <c r="O20" i="4"/>
  <c r="N20" i="4"/>
  <c r="M20" i="4"/>
  <c r="D20" i="4"/>
  <c r="P19" i="4"/>
  <c r="O19" i="4"/>
  <c r="N19" i="4"/>
  <c r="M19" i="4"/>
  <c r="D19" i="4"/>
  <c r="P18" i="4"/>
  <c r="O18" i="4"/>
  <c r="N18" i="4"/>
  <c r="M18" i="4"/>
  <c r="D18" i="4"/>
  <c r="P17" i="4"/>
  <c r="O17" i="4"/>
  <c r="N17" i="4"/>
  <c r="M17" i="4"/>
  <c r="D17" i="4"/>
  <c r="P16" i="4"/>
  <c r="O16" i="4"/>
  <c r="N16" i="4"/>
  <c r="M16" i="4"/>
  <c r="D16" i="4"/>
  <c r="P15" i="4"/>
  <c r="O15" i="4"/>
  <c r="N15" i="4"/>
  <c r="M15" i="4"/>
  <c r="D15" i="4"/>
  <c r="P14" i="4"/>
  <c r="O14" i="4"/>
  <c r="N14" i="4"/>
  <c r="M14" i="4"/>
  <c r="D14" i="4"/>
  <c r="P13" i="4"/>
  <c r="O13" i="4"/>
  <c r="N13" i="4"/>
  <c r="M13" i="4"/>
  <c r="D13" i="4"/>
  <c r="P12" i="4"/>
  <c r="O12" i="4"/>
  <c r="N12" i="4"/>
  <c r="M12" i="4"/>
  <c r="D12" i="4"/>
  <c r="P11" i="4"/>
  <c r="O11" i="4"/>
  <c r="N11" i="4"/>
  <c r="M11" i="4"/>
  <c r="D11" i="4"/>
  <c r="P10" i="4"/>
  <c r="O10" i="4"/>
  <c r="N10" i="4"/>
  <c r="M10" i="4"/>
  <c r="D10" i="4"/>
  <c r="P9" i="4"/>
  <c r="O9" i="4"/>
  <c r="N9" i="4"/>
  <c r="M9" i="4"/>
  <c r="D9" i="4"/>
  <c r="P8" i="4"/>
  <c r="O8" i="4"/>
  <c r="N8" i="4"/>
  <c r="M8" i="4"/>
  <c r="D8" i="4"/>
  <c r="P7" i="4"/>
  <c r="O7" i="4"/>
  <c r="N7" i="4"/>
  <c r="M7" i="4"/>
  <c r="D7" i="4"/>
  <c r="P6" i="4"/>
  <c r="O6" i="4"/>
  <c r="N6" i="4"/>
  <c r="M6" i="4"/>
  <c r="D6" i="4"/>
  <c r="P5" i="4"/>
  <c r="O5" i="4"/>
  <c r="N5" i="4"/>
  <c r="M5" i="4"/>
  <c r="D5" i="4"/>
  <c r="P4" i="4"/>
  <c r="O4" i="4"/>
  <c r="N4" i="4"/>
  <c r="M4" i="4"/>
  <c r="D4" i="4"/>
  <c r="L34" i="4" l="1"/>
  <c r="T34" i="4"/>
  <c r="L9" i="4"/>
  <c r="T9" i="4"/>
  <c r="L15" i="4"/>
  <c r="T15" i="4"/>
  <c r="L21" i="4"/>
  <c r="T21" i="4"/>
  <c r="L27" i="4"/>
  <c r="T27" i="4"/>
  <c r="L33" i="4"/>
  <c r="T33" i="4"/>
  <c r="L39" i="4"/>
  <c r="T39" i="4"/>
  <c r="L47" i="4"/>
  <c r="T47" i="4"/>
  <c r="L53" i="4"/>
  <c r="T53" i="4"/>
  <c r="L4" i="4"/>
  <c r="T4" i="4"/>
  <c r="L10" i="4"/>
  <c r="T10" i="4"/>
  <c r="L22" i="4"/>
  <c r="T22" i="4"/>
  <c r="L8" i="4"/>
  <c r="T8" i="4"/>
  <c r="L14" i="4"/>
  <c r="T14" i="4"/>
  <c r="L20" i="4"/>
  <c r="T20" i="4"/>
  <c r="L26" i="4"/>
  <c r="T26" i="4"/>
  <c r="L32" i="4"/>
  <c r="T32" i="4"/>
  <c r="L38" i="4"/>
  <c r="T38" i="4"/>
  <c r="L46" i="4"/>
  <c r="T46" i="4"/>
  <c r="L52" i="4"/>
  <c r="T52" i="4"/>
  <c r="L42" i="4"/>
  <c r="T42" i="4"/>
  <c r="L7" i="4"/>
  <c r="T7" i="4"/>
  <c r="L13" i="4"/>
  <c r="T13" i="4"/>
  <c r="L19" i="4"/>
  <c r="L25" i="4"/>
  <c r="T25" i="4"/>
  <c r="L31" i="4"/>
  <c r="T31" i="4"/>
  <c r="L37" i="4"/>
  <c r="T37" i="4"/>
  <c r="L45" i="4"/>
  <c r="T45" i="4"/>
  <c r="L51" i="4"/>
  <c r="T51" i="4"/>
  <c r="L16" i="4"/>
  <c r="T16" i="4"/>
  <c r="L28" i="4"/>
  <c r="T28" i="4"/>
  <c r="L48" i="4"/>
  <c r="T48" i="4"/>
  <c r="L6" i="4"/>
  <c r="T6" i="4"/>
  <c r="L12" i="4"/>
  <c r="T12" i="4"/>
  <c r="L18" i="4"/>
  <c r="T18" i="4"/>
  <c r="L24" i="4"/>
  <c r="T24" i="4"/>
  <c r="L30" i="4"/>
  <c r="T30" i="4"/>
  <c r="L36" i="4"/>
  <c r="T36" i="4"/>
  <c r="L44" i="4"/>
  <c r="T44" i="4"/>
  <c r="L50" i="4"/>
  <c r="T50" i="4"/>
  <c r="L5" i="4"/>
  <c r="T5" i="4"/>
  <c r="L11" i="4"/>
  <c r="T11" i="4"/>
  <c r="L17" i="4"/>
  <c r="T17" i="4"/>
  <c r="L23" i="4"/>
  <c r="T23" i="4"/>
  <c r="L29" i="4"/>
  <c r="T29" i="4"/>
  <c r="L35" i="4"/>
  <c r="T35" i="4"/>
  <c r="L43" i="4"/>
  <c r="T43" i="4"/>
  <c r="L49" i="4"/>
  <c r="T49" i="4"/>
  <c r="M36" i="1"/>
  <c r="L58" i="4"/>
  <c r="O58" i="4"/>
  <c r="O54" i="4"/>
  <c r="M58" i="4"/>
  <c r="N40" i="4"/>
  <c r="P58" i="4"/>
  <c r="L205" i="4"/>
  <c r="N205" i="4"/>
  <c r="P205" i="4"/>
  <c r="M205" i="4"/>
  <c r="O205" i="4"/>
  <c r="N58" i="4"/>
  <c r="N54" i="4"/>
  <c r="M54" i="4"/>
  <c r="P54" i="4"/>
  <c r="M40" i="4"/>
  <c r="P40" i="4"/>
  <c r="O40" i="4"/>
  <c r="L54" i="4"/>
  <c r="L40" i="4"/>
  <c r="N206" i="4" l="1"/>
  <c r="O206" i="4"/>
  <c r="L206" i="4"/>
  <c r="P206" i="4"/>
  <c r="M206" i="4"/>
  <c r="P41" i="10"/>
  <c r="O41" i="10"/>
  <c r="N41" i="10"/>
  <c r="M41" i="10"/>
  <c r="L41" i="10"/>
  <c r="P40" i="10"/>
  <c r="O40" i="10"/>
  <c r="N40" i="10"/>
  <c r="M40" i="10"/>
  <c r="L40" i="10"/>
  <c r="P39" i="10"/>
  <c r="O39" i="10"/>
  <c r="N39" i="10"/>
  <c r="M39" i="10"/>
  <c r="L39" i="10"/>
  <c r="P38" i="10"/>
  <c r="O38" i="10"/>
  <c r="N38" i="10"/>
  <c r="M38" i="10"/>
  <c r="L38" i="10"/>
  <c r="P37" i="10"/>
  <c r="O37" i="10"/>
  <c r="N37" i="10"/>
  <c r="M37" i="10"/>
  <c r="L37" i="10"/>
  <c r="P36" i="10"/>
  <c r="O36" i="10"/>
  <c r="N36" i="10"/>
  <c r="M36" i="10"/>
  <c r="L36" i="10"/>
  <c r="P35" i="10"/>
  <c r="O35" i="10"/>
  <c r="N35" i="10"/>
  <c r="M35" i="10"/>
  <c r="L35" i="10"/>
  <c r="P34" i="10"/>
  <c r="O34" i="10"/>
  <c r="N34" i="10"/>
  <c r="M34" i="10"/>
  <c r="L34" i="10"/>
  <c r="P33" i="10"/>
  <c r="O33" i="10"/>
  <c r="N33" i="10"/>
  <c r="M33" i="10"/>
  <c r="L33" i="10"/>
  <c r="P32" i="10"/>
  <c r="O32" i="10"/>
  <c r="N32" i="10"/>
  <c r="M32" i="10"/>
  <c r="L32" i="10"/>
  <c r="P31" i="10"/>
  <c r="O31" i="10"/>
  <c r="N31" i="10"/>
  <c r="M31" i="10"/>
  <c r="L31" i="10"/>
  <c r="P30" i="10"/>
  <c r="N30" i="10"/>
  <c r="M30" i="10"/>
  <c r="L30" i="10"/>
  <c r="O30" i="10" s="1"/>
  <c r="P29" i="10"/>
  <c r="O29" i="10"/>
  <c r="N29" i="10"/>
  <c r="M29" i="10"/>
  <c r="L29" i="10"/>
  <c r="L8" i="10" l="1"/>
  <c r="M8" i="10"/>
  <c r="O8" i="10"/>
  <c r="N8" i="10"/>
  <c r="K228" i="15"/>
  <c r="I228" i="15"/>
  <c r="O228" i="15" s="1"/>
  <c r="H228" i="15"/>
  <c r="N228" i="15" s="1"/>
  <c r="G228" i="15"/>
  <c r="M228" i="15" s="1"/>
  <c r="F228" i="15"/>
  <c r="L228" i="15" s="1"/>
  <c r="K227" i="15"/>
  <c r="I227" i="15"/>
  <c r="O227" i="15" s="1"/>
  <c r="H227" i="15"/>
  <c r="N227" i="15" s="1"/>
  <c r="G227" i="15"/>
  <c r="M227" i="15" s="1"/>
  <c r="F227" i="15"/>
  <c r="L227" i="15" s="1"/>
  <c r="M226" i="15"/>
  <c r="K226" i="15"/>
  <c r="I226" i="15"/>
  <c r="O226" i="15" s="1"/>
  <c r="H226" i="15"/>
  <c r="N226" i="15" s="1"/>
  <c r="G226" i="15"/>
  <c r="F226" i="15"/>
  <c r="L226" i="15" s="1"/>
  <c r="K225" i="15"/>
  <c r="I225" i="15"/>
  <c r="O225" i="15" s="1"/>
  <c r="H225" i="15"/>
  <c r="N225" i="15" s="1"/>
  <c r="G225" i="15"/>
  <c r="M225" i="15" s="1"/>
  <c r="F225" i="15"/>
  <c r="L225" i="15" s="1"/>
  <c r="K224" i="15"/>
  <c r="I224" i="15"/>
  <c r="O224" i="15" s="1"/>
  <c r="H224" i="15"/>
  <c r="N224" i="15" s="1"/>
  <c r="G224" i="15"/>
  <c r="M224" i="15" s="1"/>
  <c r="F224" i="15"/>
  <c r="L224" i="15" s="1"/>
  <c r="K223" i="15"/>
  <c r="I223" i="15"/>
  <c r="O223" i="15" s="1"/>
  <c r="H223" i="15"/>
  <c r="N223" i="15" s="1"/>
  <c r="G223" i="15"/>
  <c r="M223" i="15" s="1"/>
  <c r="F223" i="15"/>
  <c r="L223" i="15" s="1"/>
  <c r="K222" i="15"/>
  <c r="I222" i="15"/>
  <c r="O222" i="15" s="1"/>
  <c r="H222" i="15"/>
  <c r="N222" i="15" s="1"/>
  <c r="G222" i="15"/>
  <c r="M222" i="15" s="1"/>
  <c r="F222" i="15"/>
  <c r="L222" i="15" s="1"/>
  <c r="K221" i="15"/>
  <c r="I221" i="15"/>
  <c r="O221" i="15" s="1"/>
  <c r="H221" i="15"/>
  <c r="N221" i="15" s="1"/>
  <c r="G221" i="15"/>
  <c r="M221" i="15" s="1"/>
  <c r="F221" i="15"/>
  <c r="L221" i="15" s="1"/>
  <c r="K220" i="15"/>
  <c r="I220" i="15"/>
  <c r="O220" i="15" s="1"/>
  <c r="H220" i="15"/>
  <c r="N220" i="15" s="1"/>
  <c r="G220" i="15"/>
  <c r="M220" i="15" s="1"/>
  <c r="F220" i="15"/>
  <c r="L220" i="15" s="1"/>
  <c r="K219" i="15"/>
  <c r="I219" i="15"/>
  <c r="O219" i="15" s="1"/>
  <c r="H219" i="15"/>
  <c r="N219" i="15" s="1"/>
  <c r="G219" i="15"/>
  <c r="M219" i="15" s="1"/>
  <c r="F219" i="15"/>
  <c r="L219" i="15" s="1"/>
  <c r="K218" i="15"/>
  <c r="I218" i="15"/>
  <c r="O218" i="15" s="1"/>
  <c r="H218" i="15"/>
  <c r="N218" i="15" s="1"/>
  <c r="G218" i="15"/>
  <c r="M218" i="15" s="1"/>
  <c r="F218" i="15"/>
  <c r="L218" i="15" s="1"/>
  <c r="K217" i="15"/>
  <c r="I217" i="15"/>
  <c r="O217" i="15" s="1"/>
  <c r="H217" i="15"/>
  <c r="N217" i="15" s="1"/>
  <c r="G217" i="15"/>
  <c r="M217" i="15" s="1"/>
  <c r="F217" i="15"/>
  <c r="L217" i="15" s="1"/>
  <c r="K216" i="15"/>
  <c r="I216" i="15"/>
  <c r="O216" i="15" s="1"/>
  <c r="H216" i="15"/>
  <c r="N216" i="15" s="1"/>
  <c r="G216" i="15"/>
  <c r="M216" i="15" s="1"/>
  <c r="F216" i="15"/>
  <c r="L216" i="15" s="1"/>
  <c r="K215" i="15"/>
  <c r="I215" i="15"/>
  <c r="O215" i="15" s="1"/>
  <c r="H215" i="15"/>
  <c r="N215" i="15" s="1"/>
  <c r="G215" i="15"/>
  <c r="M215" i="15" s="1"/>
  <c r="F215" i="15"/>
  <c r="L215" i="15" s="1"/>
  <c r="K214" i="15"/>
  <c r="I214" i="15"/>
  <c r="O214" i="15" s="1"/>
  <c r="H214" i="15"/>
  <c r="N214" i="15" s="1"/>
  <c r="G214" i="15"/>
  <c r="M214" i="15" s="1"/>
  <c r="F214" i="15"/>
  <c r="L214" i="15" s="1"/>
  <c r="K213" i="15"/>
  <c r="I213" i="15"/>
  <c r="O213" i="15" s="1"/>
  <c r="H213" i="15"/>
  <c r="N213" i="15" s="1"/>
  <c r="G213" i="15"/>
  <c r="M213" i="15" s="1"/>
  <c r="F213" i="15"/>
  <c r="L213" i="15" s="1"/>
  <c r="O212" i="15"/>
  <c r="K212" i="15"/>
  <c r="I212" i="15"/>
  <c r="H212" i="15"/>
  <c r="N212" i="15" s="1"/>
  <c r="G212" i="15"/>
  <c r="M212" i="15" s="1"/>
  <c r="F212" i="15"/>
  <c r="L212" i="15" s="1"/>
  <c r="N211" i="15"/>
  <c r="K211" i="15"/>
  <c r="I211" i="15"/>
  <c r="O211" i="15" s="1"/>
  <c r="H211" i="15"/>
  <c r="G211" i="15"/>
  <c r="M211" i="15" s="1"/>
  <c r="F211" i="15"/>
  <c r="L211" i="15" s="1"/>
  <c r="O210" i="15"/>
  <c r="N210" i="15"/>
  <c r="M210" i="15"/>
  <c r="L210" i="15"/>
  <c r="K210" i="15"/>
  <c r="O209" i="15"/>
  <c r="N209" i="15"/>
  <c r="M209" i="15"/>
  <c r="L209" i="15"/>
  <c r="K209" i="15"/>
  <c r="O208" i="15"/>
  <c r="N208" i="15"/>
  <c r="M208" i="15"/>
  <c r="L208" i="15"/>
  <c r="K208" i="15"/>
  <c r="K207" i="15"/>
  <c r="K206" i="15"/>
  <c r="I206" i="15"/>
  <c r="O206" i="15" s="1"/>
  <c r="H206" i="15"/>
  <c r="N206" i="15" s="1"/>
  <c r="G206" i="15"/>
  <c r="M206" i="15" s="1"/>
  <c r="F206" i="15"/>
  <c r="L206" i="15" s="1"/>
  <c r="K205" i="15"/>
  <c r="I205" i="15"/>
  <c r="O205" i="15" s="1"/>
  <c r="H205" i="15"/>
  <c r="N205" i="15" s="1"/>
  <c r="G205" i="15"/>
  <c r="M205" i="15" s="1"/>
  <c r="F205" i="15"/>
  <c r="L205" i="15" s="1"/>
  <c r="K204" i="15"/>
  <c r="I204" i="15"/>
  <c r="O204" i="15" s="1"/>
  <c r="H204" i="15"/>
  <c r="N204" i="15" s="1"/>
  <c r="G204" i="15"/>
  <c r="M204" i="15" s="1"/>
  <c r="F204" i="15"/>
  <c r="L204" i="15" s="1"/>
  <c r="K203" i="15"/>
  <c r="I203" i="15"/>
  <c r="O203" i="15" s="1"/>
  <c r="H203" i="15"/>
  <c r="N203" i="15" s="1"/>
  <c r="G203" i="15"/>
  <c r="M203" i="15" s="1"/>
  <c r="F203" i="15"/>
  <c r="L203" i="15" s="1"/>
  <c r="K202" i="15"/>
  <c r="I202" i="15"/>
  <c r="O202" i="15" s="1"/>
  <c r="H202" i="15"/>
  <c r="N202" i="15" s="1"/>
  <c r="G202" i="15"/>
  <c r="M202" i="15" s="1"/>
  <c r="F202" i="15"/>
  <c r="L202" i="15" s="1"/>
  <c r="K201" i="15"/>
  <c r="I201" i="15"/>
  <c r="O201" i="15" s="1"/>
  <c r="H201" i="15"/>
  <c r="N201" i="15" s="1"/>
  <c r="G201" i="15"/>
  <c r="M201" i="15" s="1"/>
  <c r="F201" i="15"/>
  <c r="L201" i="15" s="1"/>
  <c r="M200" i="15"/>
  <c r="K200" i="15"/>
  <c r="I200" i="15"/>
  <c r="O200" i="15" s="1"/>
  <c r="H200" i="15"/>
  <c r="N200" i="15" s="1"/>
  <c r="G200" i="15"/>
  <c r="F200" i="15"/>
  <c r="L200" i="15" s="1"/>
  <c r="K199" i="15"/>
  <c r="I199" i="15"/>
  <c r="O199" i="15" s="1"/>
  <c r="H199" i="15"/>
  <c r="N199" i="15" s="1"/>
  <c r="G199" i="15"/>
  <c r="M199" i="15" s="1"/>
  <c r="F199" i="15"/>
  <c r="L199" i="15" s="1"/>
  <c r="K198" i="15"/>
  <c r="I198" i="15"/>
  <c r="O198" i="15" s="1"/>
  <c r="H198" i="15"/>
  <c r="N198" i="15" s="1"/>
  <c r="G198" i="15"/>
  <c r="M198" i="15" s="1"/>
  <c r="F198" i="15"/>
  <c r="L198" i="15" s="1"/>
  <c r="K197" i="15"/>
  <c r="I197" i="15"/>
  <c r="O197" i="15" s="1"/>
  <c r="H197" i="15"/>
  <c r="N197" i="15" s="1"/>
  <c r="G197" i="15"/>
  <c r="M197" i="15" s="1"/>
  <c r="F197" i="15"/>
  <c r="L197" i="15" s="1"/>
  <c r="K196" i="15"/>
  <c r="I196" i="15"/>
  <c r="O196" i="15" s="1"/>
  <c r="H196" i="15"/>
  <c r="N196" i="15" s="1"/>
  <c r="G196" i="15"/>
  <c r="M196" i="15" s="1"/>
  <c r="F196" i="15"/>
  <c r="L196" i="15" s="1"/>
  <c r="K195" i="15"/>
  <c r="I195" i="15"/>
  <c r="O195" i="15" s="1"/>
  <c r="H195" i="15"/>
  <c r="N195" i="15" s="1"/>
  <c r="G195" i="15"/>
  <c r="M195" i="15" s="1"/>
  <c r="F195" i="15"/>
  <c r="L195" i="15" s="1"/>
  <c r="K194" i="15"/>
  <c r="I194" i="15"/>
  <c r="O194" i="15" s="1"/>
  <c r="H194" i="15"/>
  <c r="N194" i="15" s="1"/>
  <c r="G194" i="15"/>
  <c r="M194" i="15" s="1"/>
  <c r="F194" i="15"/>
  <c r="L194" i="15" s="1"/>
  <c r="K193" i="15"/>
  <c r="I193" i="15"/>
  <c r="O193" i="15" s="1"/>
  <c r="H193" i="15"/>
  <c r="N193" i="15" s="1"/>
  <c r="G193" i="15"/>
  <c r="M193" i="15" s="1"/>
  <c r="F193" i="15"/>
  <c r="L193" i="15" s="1"/>
  <c r="O192" i="15"/>
  <c r="N192" i="15"/>
  <c r="K192" i="15"/>
  <c r="I192" i="15"/>
  <c r="H192" i="15"/>
  <c r="G192" i="15"/>
  <c r="M192" i="15" s="1"/>
  <c r="F192" i="15"/>
  <c r="L192" i="15" s="1"/>
  <c r="K191" i="15"/>
  <c r="O190" i="15"/>
  <c r="N190" i="15"/>
  <c r="K190" i="15"/>
  <c r="G190" i="15"/>
  <c r="M190" i="15" s="1"/>
  <c r="F190" i="15"/>
  <c r="L190" i="15" s="1"/>
  <c r="O189" i="15"/>
  <c r="N189" i="15"/>
  <c r="K189" i="15"/>
  <c r="G189" i="15"/>
  <c r="M189" i="15" s="1"/>
  <c r="F189" i="15"/>
  <c r="L189" i="15" s="1"/>
  <c r="O188" i="15"/>
  <c r="N188" i="15"/>
  <c r="K188" i="15"/>
  <c r="G188" i="15"/>
  <c r="M188" i="15" s="1"/>
  <c r="F188" i="15"/>
  <c r="L188" i="15" s="1"/>
  <c r="O187" i="15"/>
  <c r="N187" i="15"/>
  <c r="K187" i="15"/>
  <c r="G187" i="15"/>
  <c r="M187" i="15" s="1"/>
  <c r="F187" i="15"/>
  <c r="L187" i="15" s="1"/>
  <c r="O186" i="15"/>
  <c r="N186" i="15"/>
  <c r="L186" i="15"/>
  <c r="K186" i="15"/>
  <c r="G186" i="15"/>
  <c r="M186" i="15" s="1"/>
  <c r="F186" i="15"/>
  <c r="K185" i="15"/>
  <c r="K184" i="15"/>
  <c r="I184" i="15"/>
  <c r="O184" i="15" s="1"/>
  <c r="H184" i="15"/>
  <c r="N184" i="15" s="1"/>
  <c r="G184" i="15"/>
  <c r="M184" i="15" s="1"/>
  <c r="F184" i="15"/>
  <c r="L184" i="15" s="1"/>
  <c r="K183" i="15"/>
  <c r="I183" i="15"/>
  <c r="O183" i="15" s="1"/>
  <c r="H183" i="15"/>
  <c r="N183" i="15" s="1"/>
  <c r="G183" i="15"/>
  <c r="M183" i="15" s="1"/>
  <c r="F183" i="15"/>
  <c r="L183" i="15" s="1"/>
  <c r="N182" i="15"/>
  <c r="M182" i="15"/>
  <c r="K182" i="15"/>
  <c r="I182" i="15"/>
  <c r="O182" i="15" s="1"/>
  <c r="H182" i="15"/>
  <c r="G182" i="15"/>
  <c r="F182" i="15"/>
  <c r="L182" i="15" s="1"/>
  <c r="N181" i="15"/>
  <c r="K181" i="15"/>
  <c r="I181" i="15"/>
  <c r="O181" i="15" s="1"/>
  <c r="H181" i="15"/>
  <c r="G181" i="15"/>
  <c r="M181" i="15" s="1"/>
  <c r="F181" i="15"/>
  <c r="L181" i="15" s="1"/>
  <c r="K180" i="15"/>
  <c r="I180" i="15"/>
  <c r="O180" i="15" s="1"/>
  <c r="H180" i="15"/>
  <c r="N180" i="15" s="1"/>
  <c r="G180" i="15"/>
  <c r="M180" i="15" s="1"/>
  <c r="F180" i="15"/>
  <c r="L180" i="15" s="1"/>
  <c r="K179" i="15"/>
  <c r="I179" i="15"/>
  <c r="O179" i="15" s="1"/>
  <c r="H179" i="15"/>
  <c r="N179" i="15" s="1"/>
  <c r="G179" i="15"/>
  <c r="M179" i="15" s="1"/>
  <c r="F179" i="15"/>
  <c r="L179" i="15" s="1"/>
  <c r="K178" i="15"/>
  <c r="I178" i="15"/>
  <c r="O178" i="15" s="1"/>
  <c r="H178" i="15"/>
  <c r="N178" i="15" s="1"/>
  <c r="G178" i="15"/>
  <c r="M178" i="15" s="1"/>
  <c r="F178" i="15"/>
  <c r="L178" i="15" s="1"/>
  <c r="K177" i="15"/>
  <c r="I177" i="15"/>
  <c r="O177" i="15" s="1"/>
  <c r="H177" i="15"/>
  <c r="N177" i="15" s="1"/>
  <c r="G177" i="15"/>
  <c r="M177" i="15" s="1"/>
  <c r="F177" i="15"/>
  <c r="L177" i="15" s="1"/>
  <c r="K176" i="15"/>
  <c r="I176" i="15"/>
  <c r="O176" i="15" s="1"/>
  <c r="H176" i="15"/>
  <c r="N176" i="15" s="1"/>
  <c r="G176" i="15"/>
  <c r="M176" i="15" s="1"/>
  <c r="F176" i="15"/>
  <c r="L176" i="15" s="1"/>
  <c r="K175" i="15"/>
  <c r="I175" i="15"/>
  <c r="O175" i="15" s="1"/>
  <c r="H175" i="15"/>
  <c r="N175" i="15" s="1"/>
  <c r="G175" i="15"/>
  <c r="M175" i="15" s="1"/>
  <c r="F175" i="15"/>
  <c r="L175" i="15" s="1"/>
  <c r="K174" i="15"/>
  <c r="I174" i="15"/>
  <c r="O174" i="15" s="1"/>
  <c r="H174" i="15"/>
  <c r="N174" i="15" s="1"/>
  <c r="G174" i="15"/>
  <c r="M174" i="15" s="1"/>
  <c r="F174" i="15"/>
  <c r="L174" i="15" s="1"/>
  <c r="O173" i="15"/>
  <c r="N173" i="15"/>
  <c r="K173" i="15"/>
  <c r="I173" i="15"/>
  <c r="H173" i="15"/>
  <c r="G173" i="15"/>
  <c r="M173" i="15" s="1"/>
  <c r="F173" i="15"/>
  <c r="L173" i="15" s="1"/>
  <c r="K172" i="15"/>
  <c r="I172" i="15"/>
  <c r="O172" i="15" s="1"/>
  <c r="H172" i="15"/>
  <c r="N172" i="15" s="1"/>
  <c r="G172" i="15"/>
  <c r="M172" i="15" s="1"/>
  <c r="F172" i="15"/>
  <c r="L172" i="15" s="1"/>
  <c r="K171" i="15"/>
  <c r="I171" i="15"/>
  <c r="O171" i="15" s="1"/>
  <c r="H171" i="15"/>
  <c r="N171" i="15" s="1"/>
  <c r="G171" i="15"/>
  <c r="M171" i="15" s="1"/>
  <c r="F171" i="15"/>
  <c r="L171" i="15" s="1"/>
  <c r="K170" i="15"/>
  <c r="I170" i="15"/>
  <c r="O170" i="15" s="1"/>
  <c r="H170" i="15"/>
  <c r="N170" i="15" s="1"/>
  <c r="G170" i="15"/>
  <c r="M170" i="15" s="1"/>
  <c r="F170" i="15"/>
  <c r="L170" i="15" s="1"/>
  <c r="K169" i="15"/>
  <c r="I169" i="15"/>
  <c r="O169" i="15" s="1"/>
  <c r="H169" i="15"/>
  <c r="N169" i="15" s="1"/>
  <c r="G169" i="15"/>
  <c r="M169" i="15" s="1"/>
  <c r="F169" i="15"/>
  <c r="L169" i="15" s="1"/>
  <c r="K168" i="15"/>
  <c r="O167" i="15"/>
  <c r="N167" i="15"/>
  <c r="M167" i="15"/>
  <c r="L167" i="15"/>
  <c r="K167" i="15"/>
  <c r="O166" i="15"/>
  <c r="N166" i="15"/>
  <c r="M166" i="15"/>
  <c r="L166" i="15"/>
  <c r="K166" i="15"/>
  <c r="O165" i="15"/>
  <c r="N165" i="15"/>
  <c r="M165" i="15"/>
  <c r="L165" i="15"/>
  <c r="K165" i="15"/>
  <c r="O164" i="15"/>
  <c r="N164" i="15"/>
  <c r="M164" i="15"/>
  <c r="L164" i="15"/>
  <c r="K164" i="15"/>
  <c r="O163" i="15"/>
  <c r="N163" i="15"/>
  <c r="M163" i="15"/>
  <c r="L163" i="15"/>
  <c r="K163" i="15"/>
  <c r="O162" i="15"/>
  <c r="N162" i="15"/>
  <c r="M162" i="15"/>
  <c r="L162" i="15"/>
  <c r="K162" i="15"/>
  <c r="O161" i="15"/>
  <c r="N161" i="15"/>
  <c r="M161" i="15"/>
  <c r="L161" i="15"/>
  <c r="K161" i="15"/>
  <c r="O160" i="15"/>
  <c r="N160" i="15"/>
  <c r="M160" i="15"/>
  <c r="L160" i="15"/>
  <c r="K160" i="15"/>
  <c r="K159" i="15"/>
  <c r="O158" i="15"/>
  <c r="N158" i="15"/>
  <c r="M158" i="15"/>
  <c r="L158" i="15"/>
  <c r="K158" i="15"/>
  <c r="O157" i="15"/>
  <c r="N157" i="15"/>
  <c r="M157" i="15"/>
  <c r="L157" i="15"/>
  <c r="K157" i="15"/>
  <c r="O156" i="15"/>
  <c r="N156" i="15"/>
  <c r="M156" i="15"/>
  <c r="L156" i="15"/>
  <c r="K156" i="15"/>
  <c r="O155" i="15"/>
  <c r="N155" i="15"/>
  <c r="M155" i="15"/>
  <c r="L155" i="15"/>
  <c r="K155" i="15"/>
  <c r="O154" i="15"/>
  <c r="N154" i="15"/>
  <c r="M154" i="15"/>
  <c r="L154" i="15"/>
  <c r="K154" i="15"/>
  <c r="O153" i="15"/>
  <c r="N153" i="15"/>
  <c r="M153" i="15"/>
  <c r="L153" i="15"/>
  <c r="K153" i="15"/>
  <c r="O152" i="15"/>
  <c r="N152" i="15"/>
  <c r="M152" i="15"/>
  <c r="L152" i="15"/>
  <c r="K152" i="15"/>
  <c r="O151" i="15"/>
  <c r="N151" i="15"/>
  <c r="M151" i="15"/>
  <c r="L151" i="15"/>
  <c r="K151" i="15"/>
  <c r="O150" i="15"/>
  <c r="N150" i="15"/>
  <c r="M150" i="15"/>
  <c r="L150" i="15"/>
  <c r="K150" i="15"/>
  <c r="O149" i="15"/>
  <c r="N149" i="15"/>
  <c r="M149" i="15"/>
  <c r="L149" i="15"/>
  <c r="K149" i="15"/>
  <c r="O148" i="15"/>
  <c r="N148" i="15"/>
  <c r="M148" i="15"/>
  <c r="L148" i="15"/>
  <c r="K148" i="15"/>
  <c r="O147" i="15"/>
  <c r="N147" i="15"/>
  <c r="M147" i="15"/>
  <c r="L147" i="15"/>
  <c r="K147" i="15"/>
  <c r="K146" i="15"/>
  <c r="K145" i="15"/>
  <c r="I145" i="15"/>
  <c r="O145" i="15" s="1"/>
  <c r="H145" i="15"/>
  <c r="N145" i="15" s="1"/>
  <c r="G145" i="15"/>
  <c r="M145" i="15" s="1"/>
  <c r="F145" i="15"/>
  <c r="L145" i="15" s="1"/>
  <c r="K144" i="15"/>
  <c r="I144" i="15"/>
  <c r="O144" i="15" s="1"/>
  <c r="H144" i="15"/>
  <c r="N144" i="15" s="1"/>
  <c r="G144" i="15"/>
  <c r="M144" i="15" s="1"/>
  <c r="F144" i="15"/>
  <c r="L144" i="15" s="1"/>
  <c r="M143" i="15"/>
  <c r="K143" i="15"/>
  <c r="I143" i="15"/>
  <c r="O143" i="15" s="1"/>
  <c r="H143" i="15"/>
  <c r="N143" i="15" s="1"/>
  <c r="G143" i="15"/>
  <c r="F143" i="15"/>
  <c r="L143" i="15" s="1"/>
  <c r="M142" i="15"/>
  <c r="K142" i="15"/>
  <c r="I142" i="15"/>
  <c r="O142" i="15" s="1"/>
  <c r="H142" i="15"/>
  <c r="N142" i="15" s="1"/>
  <c r="G142" i="15"/>
  <c r="F142" i="15"/>
  <c r="L142" i="15" s="1"/>
  <c r="K141" i="15"/>
  <c r="I141" i="15"/>
  <c r="O141" i="15" s="1"/>
  <c r="H141" i="15"/>
  <c r="N141" i="15" s="1"/>
  <c r="G141" i="15"/>
  <c r="M141" i="15" s="1"/>
  <c r="F141" i="15"/>
  <c r="L141" i="15" s="1"/>
  <c r="K140" i="15"/>
  <c r="I140" i="15"/>
  <c r="O140" i="15" s="1"/>
  <c r="H140" i="15"/>
  <c r="N140" i="15" s="1"/>
  <c r="G140" i="15"/>
  <c r="M140" i="15" s="1"/>
  <c r="F140" i="15"/>
  <c r="L140" i="15" s="1"/>
  <c r="K139" i="15"/>
  <c r="I139" i="15"/>
  <c r="O139" i="15" s="1"/>
  <c r="H139" i="15"/>
  <c r="N139" i="15" s="1"/>
  <c r="G139" i="15"/>
  <c r="M139" i="15" s="1"/>
  <c r="F139" i="15"/>
  <c r="L139" i="15" s="1"/>
  <c r="K138" i="15"/>
  <c r="I138" i="15"/>
  <c r="O138" i="15" s="1"/>
  <c r="H138" i="15"/>
  <c r="N138" i="15" s="1"/>
  <c r="G138" i="15"/>
  <c r="M138" i="15" s="1"/>
  <c r="F138" i="15"/>
  <c r="L138" i="15" s="1"/>
  <c r="K137" i="15"/>
  <c r="I137" i="15"/>
  <c r="O137" i="15" s="1"/>
  <c r="H137" i="15"/>
  <c r="N137" i="15" s="1"/>
  <c r="G137" i="15"/>
  <c r="M137" i="15" s="1"/>
  <c r="F137" i="15"/>
  <c r="L137" i="15" s="1"/>
  <c r="K136" i="15"/>
  <c r="I136" i="15"/>
  <c r="O136" i="15" s="1"/>
  <c r="H136" i="15"/>
  <c r="N136" i="15" s="1"/>
  <c r="G136" i="15"/>
  <c r="M136" i="15" s="1"/>
  <c r="F136" i="15"/>
  <c r="L136" i="15" s="1"/>
  <c r="K135" i="15"/>
  <c r="I135" i="15"/>
  <c r="O135" i="15" s="1"/>
  <c r="H135" i="15"/>
  <c r="N135" i="15" s="1"/>
  <c r="G135" i="15"/>
  <c r="M135" i="15" s="1"/>
  <c r="F135" i="15"/>
  <c r="L135" i="15" s="1"/>
  <c r="K134" i="15"/>
  <c r="I134" i="15"/>
  <c r="O134" i="15" s="1"/>
  <c r="H134" i="15"/>
  <c r="N134" i="15" s="1"/>
  <c r="G134" i="15"/>
  <c r="M134" i="15" s="1"/>
  <c r="F134" i="15"/>
  <c r="L134" i="15" s="1"/>
  <c r="O133" i="15"/>
  <c r="N133" i="15"/>
  <c r="K133" i="15"/>
  <c r="I133" i="15"/>
  <c r="H133" i="15"/>
  <c r="G133" i="15"/>
  <c r="M133" i="15" s="1"/>
  <c r="F133" i="15"/>
  <c r="L133" i="15" s="1"/>
  <c r="O132" i="15"/>
  <c r="K132" i="15"/>
  <c r="I132" i="15"/>
  <c r="H132" i="15"/>
  <c r="N132" i="15" s="1"/>
  <c r="G132" i="15"/>
  <c r="M132" i="15" s="1"/>
  <c r="F132" i="15"/>
  <c r="L132" i="15" s="1"/>
  <c r="K131" i="15"/>
  <c r="I131" i="15"/>
  <c r="O131" i="15" s="1"/>
  <c r="H131" i="15"/>
  <c r="N131" i="15" s="1"/>
  <c r="G131" i="15"/>
  <c r="M131" i="15" s="1"/>
  <c r="F131" i="15"/>
  <c r="L131" i="15" s="1"/>
  <c r="K130" i="15"/>
  <c r="I130" i="15"/>
  <c r="O130" i="15" s="1"/>
  <c r="H130" i="15"/>
  <c r="N130" i="15" s="1"/>
  <c r="G130" i="15"/>
  <c r="M130" i="15" s="1"/>
  <c r="F130" i="15"/>
  <c r="L130" i="15" s="1"/>
  <c r="K129" i="15"/>
  <c r="I129" i="15"/>
  <c r="O129" i="15" s="1"/>
  <c r="H129" i="15"/>
  <c r="N129" i="15" s="1"/>
  <c r="G129" i="15"/>
  <c r="M129" i="15" s="1"/>
  <c r="F129" i="15"/>
  <c r="L129" i="15" s="1"/>
  <c r="L128" i="15"/>
  <c r="K128" i="15"/>
  <c r="I128" i="15"/>
  <c r="O128" i="15" s="1"/>
  <c r="H128" i="15"/>
  <c r="N128" i="15" s="1"/>
  <c r="G128" i="15"/>
  <c r="M128" i="15" s="1"/>
  <c r="F128" i="15"/>
  <c r="K127" i="15"/>
  <c r="I127" i="15"/>
  <c r="O127" i="15" s="1"/>
  <c r="H127" i="15"/>
  <c r="N127" i="15" s="1"/>
  <c r="G127" i="15"/>
  <c r="M127" i="15" s="1"/>
  <c r="F127" i="15"/>
  <c r="L127" i="15" s="1"/>
  <c r="K126" i="15"/>
  <c r="I126" i="15"/>
  <c r="O126" i="15" s="1"/>
  <c r="H126" i="15"/>
  <c r="N126" i="15" s="1"/>
  <c r="G126" i="15"/>
  <c r="M126" i="15" s="1"/>
  <c r="F126" i="15"/>
  <c r="L126" i="15" s="1"/>
  <c r="K125" i="15"/>
  <c r="I125" i="15"/>
  <c r="O125" i="15" s="1"/>
  <c r="H125" i="15"/>
  <c r="N125" i="15" s="1"/>
  <c r="G125" i="15"/>
  <c r="M125" i="15" s="1"/>
  <c r="F125" i="15"/>
  <c r="L125" i="15" s="1"/>
  <c r="K124" i="15"/>
  <c r="I124" i="15"/>
  <c r="O124" i="15" s="1"/>
  <c r="H124" i="15"/>
  <c r="N124" i="15" s="1"/>
  <c r="G124" i="15"/>
  <c r="M124" i="15" s="1"/>
  <c r="F124" i="15"/>
  <c r="L124" i="15" s="1"/>
  <c r="K123" i="15"/>
  <c r="I123" i="15"/>
  <c r="O123" i="15" s="1"/>
  <c r="H123" i="15"/>
  <c r="N123" i="15" s="1"/>
  <c r="G123" i="15"/>
  <c r="M123" i="15" s="1"/>
  <c r="F123" i="15"/>
  <c r="L123" i="15" s="1"/>
  <c r="K122" i="15"/>
  <c r="I122" i="15"/>
  <c r="O122" i="15" s="1"/>
  <c r="H122" i="15"/>
  <c r="N122" i="15" s="1"/>
  <c r="G122" i="15"/>
  <c r="M122" i="15" s="1"/>
  <c r="F122" i="15"/>
  <c r="L122" i="15" s="1"/>
  <c r="K121" i="15"/>
  <c r="I121" i="15"/>
  <c r="O121" i="15" s="1"/>
  <c r="H121" i="15"/>
  <c r="N121" i="15" s="1"/>
  <c r="G121" i="15"/>
  <c r="M121" i="15" s="1"/>
  <c r="F121" i="15"/>
  <c r="L121" i="15" s="1"/>
  <c r="M120" i="15"/>
  <c r="K120" i="15"/>
  <c r="I120" i="15"/>
  <c r="O120" i="15" s="1"/>
  <c r="H120" i="15"/>
  <c r="N120" i="15" s="1"/>
  <c r="G120" i="15"/>
  <c r="F120" i="15"/>
  <c r="L120" i="15" s="1"/>
  <c r="K119" i="15"/>
  <c r="I119" i="15"/>
  <c r="O119" i="15" s="1"/>
  <c r="H119" i="15"/>
  <c r="N119" i="15" s="1"/>
  <c r="G119" i="15"/>
  <c r="M119" i="15" s="1"/>
  <c r="F119" i="15"/>
  <c r="L119" i="15" s="1"/>
  <c r="K118" i="15"/>
  <c r="I118" i="15"/>
  <c r="O118" i="15" s="1"/>
  <c r="H118" i="15"/>
  <c r="N118" i="15" s="1"/>
  <c r="G118" i="15"/>
  <c r="M118" i="15" s="1"/>
  <c r="F118" i="15"/>
  <c r="L118" i="15" s="1"/>
  <c r="K117" i="15"/>
  <c r="I117" i="15"/>
  <c r="O117" i="15" s="1"/>
  <c r="H117" i="15"/>
  <c r="N117" i="15" s="1"/>
  <c r="G117" i="15"/>
  <c r="M117" i="15" s="1"/>
  <c r="F117" i="15"/>
  <c r="L117" i="15" s="1"/>
  <c r="K116" i="15"/>
  <c r="O115" i="15"/>
  <c r="N115" i="15"/>
  <c r="M115" i="15"/>
  <c r="L115" i="15"/>
  <c r="K115" i="15"/>
  <c r="O114" i="15"/>
  <c r="N114" i="15"/>
  <c r="M114" i="15"/>
  <c r="L114" i="15"/>
  <c r="K114" i="15"/>
  <c r="O113" i="15"/>
  <c r="N113" i="15"/>
  <c r="M113" i="15"/>
  <c r="L113" i="15"/>
  <c r="K113" i="15"/>
  <c r="O112" i="15"/>
  <c r="N112" i="15"/>
  <c r="M112" i="15"/>
  <c r="L112" i="15"/>
  <c r="K112" i="15"/>
  <c r="K111" i="15"/>
  <c r="O110" i="15"/>
  <c r="N110" i="15"/>
  <c r="M110" i="15"/>
  <c r="L110" i="15"/>
  <c r="K110" i="15"/>
  <c r="O109" i="15"/>
  <c r="N109" i="15"/>
  <c r="M109" i="15"/>
  <c r="L109" i="15"/>
  <c r="K109" i="15"/>
  <c r="O108" i="15"/>
  <c r="N108" i="15"/>
  <c r="M108" i="15"/>
  <c r="L108" i="15"/>
  <c r="K108" i="15"/>
  <c r="O107" i="15"/>
  <c r="N107" i="15"/>
  <c r="M107" i="15"/>
  <c r="L107" i="15"/>
  <c r="K107" i="15"/>
  <c r="O106" i="15"/>
  <c r="N106" i="15"/>
  <c r="M106" i="15"/>
  <c r="L106" i="15"/>
  <c r="K106" i="15"/>
  <c r="O105" i="15"/>
  <c r="N105" i="15"/>
  <c r="M105" i="15"/>
  <c r="L105" i="15"/>
  <c r="K105" i="15"/>
  <c r="O104" i="15"/>
  <c r="N104" i="15"/>
  <c r="M104" i="15"/>
  <c r="L104" i="15"/>
  <c r="K104" i="15"/>
  <c r="O103" i="15"/>
  <c r="N103" i="15"/>
  <c r="M103" i="15"/>
  <c r="L103" i="15"/>
  <c r="K103" i="15"/>
  <c r="O102" i="15"/>
  <c r="N102" i="15"/>
  <c r="M102" i="15"/>
  <c r="L102" i="15"/>
  <c r="K102" i="15"/>
  <c r="O101" i="15"/>
  <c r="N101" i="15"/>
  <c r="M101" i="15"/>
  <c r="L101" i="15"/>
  <c r="K101" i="15"/>
  <c r="O100" i="15"/>
  <c r="N100" i="15"/>
  <c r="M100" i="15"/>
  <c r="L100" i="15"/>
  <c r="K100" i="15"/>
  <c r="O99" i="15"/>
  <c r="N99" i="15"/>
  <c r="M99" i="15"/>
  <c r="L99" i="15"/>
  <c r="K99" i="15"/>
  <c r="O98" i="15"/>
  <c r="N98" i="15"/>
  <c r="M98" i="15"/>
  <c r="L98" i="15"/>
  <c r="K98" i="15"/>
  <c r="O97" i="15"/>
  <c r="N97" i="15"/>
  <c r="M97" i="15"/>
  <c r="L97" i="15"/>
  <c r="K97" i="15"/>
  <c r="O96" i="15"/>
  <c r="N96" i="15"/>
  <c r="M96" i="15"/>
  <c r="L96" i="15"/>
  <c r="K96" i="15"/>
  <c r="O95" i="15"/>
  <c r="N95" i="15"/>
  <c r="M95" i="15"/>
  <c r="L95" i="15"/>
  <c r="K95" i="15"/>
  <c r="K94" i="15"/>
  <c r="O93" i="15"/>
  <c r="K93" i="15"/>
  <c r="I93" i="15"/>
  <c r="H93" i="15"/>
  <c r="N93" i="15" s="1"/>
  <c r="G93" i="15"/>
  <c r="M93" i="15" s="1"/>
  <c r="F93" i="15"/>
  <c r="L93" i="15" s="1"/>
  <c r="O92" i="15"/>
  <c r="K92" i="15"/>
  <c r="I92" i="15"/>
  <c r="H92" i="15"/>
  <c r="N92" i="15" s="1"/>
  <c r="G92" i="15"/>
  <c r="M92" i="15" s="1"/>
  <c r="F92" i="15"/>
  <c r="L92" i="15" s="1"/>
  <c r="K91" i="15"/>
  <c r="I91" i="15"/>
  <c r="O91" i="15" s="1"/>
  <c r="H91" i="15"/>
  <c r="N91" i="15" s="1"/>
  <c r="G91" i="15"/>
  <c r="M91" i="15" s="1"/>
  <c r="F91" i="15"/>
  <c r="L91" i="15" s="1"/>
  <c r="K90" i="15"/>
  <c r="I90" i="15"/>
  <c r="O90" i="15" s="1"/>
  <c r="H90" i="15"/>
  <c r="N90" i="15" s="1"/>
  <c r="G90" i="15"/>
  <c r="M90" i="15" s="1"/>
  <c r="F90" i="15"/>
  <c r="L90" i="15" s="1"/>
  <c r="K89" i="15"/>
  <c r="I89" i="15"/>
  <c r="O89" i="15" s="1"/>
  <c r="H89" i="15"/>
  <c r="N89" i="15" s="1"/>
  <c r="G89" i="15"/>
  <c r="M89" i="15" s="1"/>
  <c r="F89" i="15"/>
  <c r="L89" i="15" s="1"/>
  <c r="K88" i="15"/>
  <c r="I88" i="15"/>
  <c r="O88" i="15" s="1"/>
  <c r="H88" i="15"/>
  <c r="N88" i="15" s="1"/>
  <c r="G88" i="15"/>
  <c r="M88" i="15" s="1"/>
  <c r="F88" i="15"/>
  <c r="L88" i="15" s="1"/>
  <c r="N87" i="15"/>
  <c r="K87" i="15"/>
  <c r="I87" i="15"/>
  <c r="O87" i="15" s="1"/>
  <c r="H87" i="15"/>
  <c r="G87" i="15"/>
  <c r="M87" i="15" s="1"/>
  <c r="F87" i="15"/>
  <c r="L87" i="15" s="1"/>
  <c r="K86" i="15"/>
  <c r="I86" i="15"/>
  <c r="O86" i="15" s="1"/>
  <c r="H86" i="15"/>
  <c r="N86" i="15" s="1"/>
  <c r="G86" i="15"/>
  <c r="M86" i="15" s="1"/>
  <c r="F86" i="15"/>
  <c r="L86" i="15" s="1"/>
  <c r="K85" i="15"/>
  <c r="I85" i="15"/>
  <c r="O85" i="15" s="1"/>
  <c r="H85" i="15"/>
  <c r="N85" i="15" s="1"/>
  <c r="G85" i="15"/>
  <c r="M85" i="15" s="1"/>
  <c r="F85" i="15"/>
  <c r="L85" i="15" s="1"/>
  <c r="K84" i="15"/>
  <c r="I84" i="15"/>
  <c r="O84" i="15" s="1"/>
  <c r="H84" i="15"/>
  <c r="N84" i="15" s="1"/>
  <c r="G84" i="15"/>
  <c r="M84" i="15" s="1"/>
  <c r="F84" i="15"/>
  <c r="L84" i="15" s="1"/>
  <c r="K83" i="15"/>
  <c r="I83" i="15"/>
  <c r="O83" i="15" s="1"/>
  <c r="H83" i="15"/>
  <c r="N83" i="15" s="1"/>
  <c r="G83" i="15"/>
  <c r="M83" i="15" s="1"/>
  <c r="F83" i="15"/>
  <c r="L83" i="15" s="1"/>
  <c r="K82" i="15"/>
  <c r="I82" i="15"/>
  <c r="O82" i="15" s="1"/>
  <c r="H82" i="15"/>
  <c r="N82" i="15" s="1"/>
  <c r="G82" i="15"/>
  <c r="M82" i="15" s="1"/>
  <c r="F82" i="15"/>
  <c r="L82" i="15" s="1"/>
  <c r="K81" i="15"/>
  <c r="L80" i="15"/>
  <c r="K80" i="15"/>
  <c r="I80" i="15"/>
  <c r="O80" i="15" s="1"/>
  <c r="H80" i="15"/>
  <c r="N80" i="15" s="1"/>
  <c r="G80" i="15"/>
  <c r="M80" i="15" s="1"/>
  <c r="F80" i="15"/>
  <c r="L79" i="15"/>
  <c r="K79" i="15"/>
  <c r="I79" i="15"/>
  <c r="O79" i="15" s="1"/>
  <c r="H79" i="15"/>
  <c r="N79" i="15" s="1"/>
  <c r="G79" i="15"/>
  <c r="M79" i="15" s="1"/>
  <c r="F79" i="15"/>
  <c r="K78" i="15"/>
  <c r="I78" i="15"/>
  <c r="O78" i="15" s="1"/>
  <c r="H78" i="15"/>
  <c r="N78" i="15" s="1"/>
  <c r="G78" i="15"/>
  <c r="M78" i="15" s="1"/>
  <c r="F78" i="15"/>
  <c r="L78" i="15" s="1"/>
  <c r="O77" i="15"/>
  <c r="K77" i="15"/>
  <c r="I77" i="15"/>
  <c r="H77" i="15"/>
  <c r="N77" i="15" s="1"/>
  <c r="G77" i="15"/>
  <c r="M77" i="15" s="1"/>
  <c r="F77" i="15"/>
  <c r="L77" i="15" s="1"/>
  <c r="K76" i="15"/>
  <c r="I76" i="15"/>
  <c r="O76" i="15" s="1"/>
  <c r="H76" i="15"/>
  <c r="N76" i="15" s="1"/>
  <c r="G76" i="15"/>
  <c r="M76" i="15" s="1"/>
  <c r="F76" i="15"/>
  <c r="L76" i="15" s="1"/>
  <c r="K75" i="15"/>
  <c r="I75" i="15"/>
  <c r="O75" i="15" s="1"/>
  <c r="H75" i="15"/>
  <c r="N75" i="15" s="1"/>
  <c r="G75" i="15"/>
  <c r="M75" i="15" s="1"/>
  <c r="F75" i="15"/>
  <c r="L75" i="15" s="1"/>
  <c r="K74" i="15"/>
  <c r="I74" i="15"/>
  <c r="O74" i="15" s="1"/>
  <c r="H74" i="15"/>
  <c r="N74" i="15" s="1"/>
  <c r="G74" i="15"/>
  <c r="M74" i="15" s="1"/>
  <c r="F74" i="15"/>
  <c r="L74" i="15" s="1"/>
  <c r="K73" i="15"/>
  <c r="I73" i="15"/>
  <c r="O73" i="15" s="1"/>
  <c r="H73" i="15"/>
  <c r="N73" i="15" s="1"/>
  <c r="G73" i="15"/>
  <c r="M73" i="15" s="1"/>
  <c r="F73" i="15"/>
  <c r="L73" i="15" s="1"/>
  <c r="K72" i="15"/>
  <c r="I72" i="15"/>
  <c r="O72" i="15" s="1"/>
  <c r="H72" i="15"/>
  <c r="N72" i="15" s="1"/>
  <c r="G72" i="15"/>
  <c r="M72" i="15" s="1"/>
  <c r="F72" i="15"/>
  <c r="L72" i="15" s="1"/>
  <c r="M71" i="15"/>
  <c r="K71" i="15"/>
  <c r="I71" i="15"/>
  <c r="O71" i="15" s="1"/>
  <c r="H71" i="15"/>
  <c r="N71" i="15" s="1"/>
  <c r="G71" i="15"/>
  <c r="F71" i="15"/>
  <c r="L71" i="15" s="1"/>
  <c r="K70" i="15"/>
  <c r="I70" i="15"/>
  <c r="O70" i="15" s="1"/>
  <c r="H70" i="15"/>
  <c r="N70" i="15" s="1"/>
  <c r="G70" i="15"/>
  <c r="M70" i="15" s="1"/>
  <c r="F70" i="15"/>
  <c r="L70" i="15" s="1"/>
  <c r="O69" i="15"/>
  <c r="K69" i="15"/>
  <c r="I69" i="15"/>
  <c r="H69" i="15"/>
  <c r="N69" i="15" s="1"/>
  <c r="G69" i="15"/>
  <c r="M69" i="15" s="1"/>
  <c r="F69" i="15"/>
  <c r="L69" i="15" s="1"/>
  <c r="K68" i="15"/>
  <c r="I68" i="15"/>
  <c r="O68" i="15" s="1"/>
  <c r="H68" i="15"/>
  <c r="N68" i="15" s="1"/>
  <c r="G68" i="15"/>
  <c r="M68" i="15" s="1"/>
  <c r="F68" i="15"/>
  <c r="L68" i="15" s="1"/>
  <c r="O67" i="15"/>
  <c r="N67" i="15"/>
  <c r="M67" i="15"/>
  <c r="L67" i="15"/>
  <c r="K67" i="15"/>
  <c r="O66" i="15"/>
  <c r="K66" i="15"/>
  <c r="I66" i="15"/>
  <c r="H66" i="15"/>
  <c r="N66" i="15" s="1"/>
  <c r="G66" i="15"/>
  <c r="M66" i="15" s="1"/>
  <c r="F66" i="15"/>
  <c r="L66" i="15" s="1"/>
  <c r="K65" i="15"/>
  <c r="I65" i="15"/>
  <c r="O65" i="15" s="1"/>
  <c r="H65" i="15"/>
  <c r="N65" i="15" s="1"/>
  <c r="G65" i="15"/>
  <c r="M65" i="15" s="1"/>
  <c r="F65" i="15"/>
  <c r="L65" i="15" s="1"/>
  <c r="K64" i="15"/>
  <c r="I64" i="15"/>
  <c r="O64" i="15" s="1"/>
  <c r="H64" i="15"/>
  <c r="N64" i="15" s="1"/>
  <c r="G64" i="15"/>
  <c r="M64" i="15" s="1"/>
  <c r="F64" i="15"/>
  <c r="L64" i="15" s="1"/>
  <c r="K63" i="15"/>
  <c r="I63" i="15"/>
  <c r="O63" i="15" s="1"/>
  <c r="H63" i="15"/>
  <c r="N63" i="15" s="1"/>
  <c r="G63" i="15"/>
  <c r="M63" i="15" s="1"/>
  <c r="F63" i="15"/>
  <c r="L63" i="15" s="1"/>
  <c r="K62" i="15"/>
  <c r="I62" i="15"/>
  <c r="O62" i="15" s="1"/>
  <c r="H62" i="15"/>
  <c r="N62" i="15" s="1"/>
  <c r="G62" i="15"/>
  <c r="M62" i="15" s="1"/>
  <c r="F62" i="15"/>
  <c r="L62" i="15" s="1"/>
  <c r="O61" i="15"/>
  <c r="N61" i="15"/>
  <c r="M61" i="15"/>
  <c r="L61" i="15"/>
  <c r="K61" i="15"/>
  <c r="K60" i="15"/>
  <c r="I60" i="15"/>
  <c r="O60" i="15" s="1"/>
  <c r="H60" i="15"/>
  <c r="N60" i="15" s="1"/>
  <c r="G60" i="15"/>
  <c r="M60" i="15" s="1"/>
  <c r="F60" i="15"/>
  <c r="L60" i="15" s="1"/>
  <c r="K59" i="15"/>
  <c r="I59" i="15"/>
  <c r="O59" i="15" s="1"/>
  <c r="H59" i="15"/>
  <c r="N59" i="15" s="1"/>
  <c r="G59" i="15"/>
  <c r="M59" i="15" s="1"/>
  <c r="F59" i="15"/>
  <c r="L59" i="15" s="1"/>
  <c r="K58" i="15"/>
  <c r="I58" i="15"/>
  <c r="O58" i="15" s="1"/>
  <c r="H58" i="15"/>
  <c r="N58" i="15" s="1"/>
  <c r="G58" i="15"/>
  <c r="M58" i="15" s="1"/>
  <c r="F58" i="15"/>
  <c r="L58" i="15" s="1"/>
  <c r="K57" i="15"/>
  <c r="I57" i="15"/>
  <c r="O57" i="15" s="1"/>
  <c r="H57" i="15"/>
  <c r="N57" i="15" s="1"/>
  <c r="G57" i="15"/>
  <c r="M57" i="15" s="1"/>
  <c r="F57" i="15"/>
  <c r="L57" i="15" s="1"/>
  <c r="K56" i="15"/>
  <c r="I56" i="15"/>
  <c r="O56" i="15" s="1"/>
  <c r="H56" i="15"/>
  <c r="N56" i="15" s="1"/>
  <c r="G56" i="15"/>
  <c r="M56" i="15" s="1"/>
  <c r="F56" i="15"/>
  <c r="L56" i="15" s="1"/>
  <c r="L55" i="15"/>
  <c r="K55" i="15"/>
  <c r="I55" i="15"/>
  <c r="O55" i="15" s="1"/>
  <c r="H55" i="15"/>
  <c r="N55" i="15" s="1"/>
  <c r="G55" i="15"/>
  <c r="M55" i="15" s="1"/>
  <c r="F55" i="15"/>
  <c r="K54" i="15"/>
  <c r="I54" i="15"/>
  <c r="O54" i="15" s="1"/>
  <c r="H54" i="15"/>
  <c r="N54" i="15" s="1"/>
  <c r="G54" i="15"/>
  <c r="M54" i="15" s="1"/>
  <c r="F54" i="15"/>
  <c r="L54" i="15" s="1"/>
  <c r="N53" i="15"/>
  <c r="K53" i="15"/>
  <c r="I53" i="15"/>
  <c r="O53" i="15" s="1"/>
  <c r="H53" i="15"/>
  <c r="G53" i="15"/>
  <c r="M53" i="15" s="1"/>
  <c r="F53" i="15"/>
  <c r="L53" i="15" s="1"/>
  <c r="O52" i="15"/>
  <c r="K52" i="15"/>
  <c r="I52" i="15"/>
  <c r="H52" i="15"/>
  <c r="N52" i="15" s="1"/>
  <c r="G52" i="15"/>
  <c r="M52" i="15" s="1"/>
  <c r="F52" i="15"/>
  <c r="L52" i="15" s="1"/>
  <c r="O51" i="15"/>
  <c r="N51" i="15"/>
  <c r="M51" i="15"/>
  <c r="L51" i="15"/>
  <c r="K51" i="15"/>
  <c r="K50" i="15"/>
  <c r="O49" i="15"/>
  <c r="K49" i="15"/>
  <c r="I49" i="15"/>
  <c r="H49" i="15"/>
  <c r="N49" i="15" s="1"/>
  <c r="G49" i="15"/>
  <c r="M49" i="15" s="1"/>
  <c r="F49" i="15"/>
  <c r="L49" i="15" s="1"/>
  <c r="K48" i="15"/>
  <c r="I48" i="15"/>
  <c r="O48" i="15" s="1"/>
  <c r="H48" i="15"/>
  <c r="N48" i="15" s="1"/>
  <c r="G48" i="15"/>
  <c r="M48" i="15" s="1"/>
  <c r="F48" i="15"/>
  <c r="L48" i="15" s="1"/>
  <c r="K47" i="15"/>
  <c r="I47" i="15"/>
  <c r="O47" i="15" s="1"/>
  <c r="H47" i="15"/>
  <c r="N47" i="15" s="1"/>
  <c r="G47" i="15"/>
  <c r="M47" i="15" s="1"/>
  <c r="F47" i="15"/>
  <c r="L47" i="15" s="1"/>
  <c r="K46" i="15"/>
  <c r="I46" i="15"/>
  <c r="O46" i="15" s="1"/>
  <c r="H46" i="15"/>
  <c r="N46" i="15" s="1"/>
  <c r="G46" i="15"/>
  <c r="M46" i="15" s="1"/>
  <c r="F46" i="15"/>
  <c r="L46" i="15" s="1"/>
  <c r="K45" i="15"/>
  <c r="I45" i="15"/>
  <c r="O45" i="15" s="1"/>
  <c r="H45" i="15"/>
  <c r="N45" i="15" s="1"/>
  <c r="G45" i="15"/>
  <c r="M45" i="15" s="1"/>
  <c r="F45" i="15"/>
  <c r="L45" i="15" s="1"/>
  <c r="K44" i="15"/>
  <c r="I44" i="15"/>
  <c r="O44" i="15" s="1"/>
  <c r="H44" i="15"/>
  <c r="N44" i="15" s="1"/>
  <c r="G44" i="15"/>
  <c r="M44" i="15" s="1"/>
  <c r="F44" i="15"/>
  <c r="L44" i="15" s="1"/>
  <c r="K43" i="15"/>
  <c r="I43" i="15"/>
  <c r="O43" i="15" s="1"/>
  <c r="H43" i="15"/>
  <c r="N43" i="15" s="1"/>
  <c r="G43" i="15"/>
  <c r="M43" i="15" s="1"/>
  <c r="F43" i="15"/>
  <c r="L43" i="15" s="1"/>
  <c r="N42" i="15"/>
  <c r="K42" i="15"/>
  <c r="I42" i="15"/>
  <c r="O42" i="15" s="1"/>
  <c r="H42" i="15"/>
  <c r="G42" i="15"/>
  <c r="M42" i="15" s="1"/>
  <c r="F42" i="15"/>
  <c r="L42" i="15" s="1"/>
  <c r="K41" i="15"/>
  <c r="I41" i="15"/>
  <c r="O41" i="15" s="1"/>
  <c r="H41" i="15"/>
  <c r="N41" i="15" s="1"/>
  <c r="G41" i="15"/>
  <c r="M41" i="15" s="1"/>
  <c r="F41" i="15"/>
  <c r="L41" i="15" s="1"/>
  <c r="O40" i="15"/>
  <c r="K40" i="15"/>
  <c r="I40" i="15"/>
  <c r="H40" i="15"/>
  <c r="N40" i="15" s="1"/>
  <c r="G40" i="15"/>
  <c r="M40" i="15" s="1"/>
  <c r="F40" i="15"/>
  <c r="L40" i="15" s="1"/>
  <c r="K39" i="15"/>
  <c r="I39" i="15"/>
  <c r="O39" i="15" s="1"/>
  <c r="H39" i="15"/>
  <c r="N39" i="15" s="1"/>
  <c r="G39" i="15"/>
  <c r="M39" i="15" s="1"/>
  <c r="F39" i="15"/>
  <c r="L39" i="15" s="1"/>
  <c r="K38" i="15"/>
  <c r="I38" i="15"/>
  <c r="O38" i="15" s="1"/>
  <c r="H38" i="15"/>
  <c r="N38" i="15" s="1"/>
  <c r="G38" i="15"/>
  <c r="M38" i="15" s="1"/>
  <c r="F38" i="15"/>
  <c r="L38" i="15" s="1"/>
  <c r="K37" i="15"/>
  <c r="I37" i="15"/>
  <c r="O37" i="15" s="1"/>
  <c r="H37" i="15"/>
  <c r="N37" i="15" s="1"/>
  <c r="G37" i="15"/>
  <c r="M37" i="15" s="1"/>
  <c r="F37" i="15"/>
  <c r="L37" i="15" s="1"/>
  <c r="M36" i="15"/>
  <c r="K36" i="15"/>
  <c r="I36" i="15"/>
  <c r="O36" i="15" s="1"/>
  <c r="H36" i="15"/>
  <c r="N36" i="15" s="1"/>
  <c r="G36" i="15"/>
  <c r="F36" i="15"/>
  <c r="L36" i="15" s="1"/>
  <c r="N35" i="15"/>
  <c r="K35" i="15"/>
  <c r="I35" i="15"/>
  <c r="O35" i="15" s="1"/>
  <c r="H35" i="15"/>
  <c r="G35" i="15"/>
  <c r="M35" i="15" s="1"/>
  <c r="F35" i="15"/>
  <c r="L35" i="15" s="1"/>
  <c r="N34" i="15"/>
  <c r="K34" i="15"/>
  <c r="I34" i="15"/>
  <c r="O34" i="15" s="1"/>
  <c r="H34" i="15"/>
  <c r="G34" i="15"/>
  <c r="M34" i="15" s="1"/>
  <c r="F34" i="15"/>
  <c r="L34" i="15" s="1"/>
  <c r="K33" i="15"/>
  <c r="I33" i="15"/>
  <c r="O33" i="15" s="1"/>
  <c r="H33" i="15"/>
  <c r="N33" i="15" s="1"/>
  <c r="G33" i="15"/>
  <c r="M33" i="15" s="1"/>
  <c r="F33" i="15"/>
  <c r="L33" i="15" s="1"/>
  <c r="K32" i="15"/>
  <c r="I32" i="15"/>
  <c r="O32" i="15" s="1"/>
  <c r="H32" i="15"/>
  <c r="N32" i="15" s="1"/>
  <c r="G32" i="15"/>
  <c r="M32" i="15" s="1"/>
  <c r="F32" i="15"/>
  <c r="L32" i="15" s="1"/>
  <c r="K31" i="15"/>
  <c r="I31" i="15"/>
  <c r="O31" i="15" s="1"/>
  <c r="H31" i="15"/>
  <c r="N31" i="15" s="1"/>
  <c r="G31" i="15"/>
  <c r="M31" i="15" s="1"/>
  <c r="F31" i="15"/>
  <c r="L31" i="15" s="1"/>
  <c r="K30" i="15"/>
  <c r="I30" i="15"/>
  <c r="O30" i="15" s="1"/>
  <c r="H30" i="15"/>
  <c r="N30" i="15" s="1"/>
  <c r="G30" i="15"/>
  <c r="M30" i="15" s="1"/>
  <c r="F30" i="15"/>
  <c r="L30" i="15" s="1"/>
  <c r="K29" i="15"/>
  <c r="I29" i="15"/>
  <c r="O29" i="15" s="1"/>
  <c r="H29" i="15"/>
  <c r="N29" i="15" s="1"/>
  <c r="G29" i="15"/>
  <c r="M29" i="15" s="1"/>
  <c r="F29" i="15"/>
  <c r="L29" i="15" s="1"/>
  <c r="K28" i="15"/>
  <c r="I28" i="15"/>
  <c r="O28" i="15" s="1"/>
  <c r="H28" i="15"/>
  <c r="N28" i="15" s="1"/>
  <c r="G28" i="15"/>
  <c r="M28" i="15" s="1"/>
  <c r="F28" i="15"/>
  <c r="L28" i="15" s="1"/>
  <c r="N27" i="15"/>
  <c r="K27" i="15"/>
  <c r="I27" i="15"/>
  <c r="O27" i="15" s="1"/>
  <c r="H27" i="15"/>
  <c r="G27" i="15"/>
  <c r="M27" i="15" s="1"/>
  <c r="F27" i="15"/>
  <c r="L27" i="15" s="1"/>
  <c r="O26" i="15"/>
  <c r="K26" i="15"/>
  <c r="I26" i="15"/>
  <c r="H26" i="15"/>
  <c r="N26" i="15" s="1"/>
  <c r="G26" i="15"/>
  <c r="M26" i="15" s="1"/>
  <c r="F26" i="15"/>
  <c r="L26" i="15" s="1"/>
  <c r="K25" i="15"/>
  <c r="I25" i="15"/>
  <c r="O25" i="15" s="1"/>
  <c r="H25" i="15"/>
  <c r="N25" i="15" s="1"/>
  <c r="G25" i="15"/>
  <c r="M25" i="15" s="1"/>
  <c r="F25" i="15"/>
  <c r="L25" i="15" s="1"/>
  <c r="K24" i="15"/>
  <c r="I24" i="15"/>
  <c r="O24" i="15" s="1"/>
  <c r="H24" i="15"/>
  <c r="N24" i="15" s="1"/>
  <c r="G24" i="15"/>
  <c r="M24" i="15" s="1"/>
  <c r="F24" i="15"/>
  <c r="L24" i="15" s="1"/>
  <c r="K23" i="15"/>
  <c r="I23" i="15"/>
  <c r="O23" i="15" s="1"/>
  <c r="H23" i="15"/>
  <c r="N23" i="15" s="1"/>
  <c r="G23" i="15"/>
  <c r="M23" i="15" s="1"/>
  <c r="F23" i="15"/>
  <c r="L23" i="15" s="1"/>
  <c r="K22" i="15"/>
  <c r="O21" i="15"/>
  <c r="N21" i="15"/>
  <c r="M21" i="15"/>
  <c r="L21" i="15"/>
  <c r="K21" i="15"/>
  <c r="O20" i="15"/>
  <c r="N20" i="15"/>
  <c r="M20" i="15"/>
  <c r="L20" i="15"/>
  <c r="K20" i="15"/>
  <c r="O19" i="15"/>
  <c r="N19" i="15"/>
  <c r="M19" i="15"/>
  <c r="L19" i="15"/>
  <c r="K19" i="15"/>
  <c r="O18" i="15"/>
  <c r="N18" i="15"/>
  <c r="M18" i="15"/>
  <c r="L18" i="15"/>
  <c r="K18" i="15"/>
  <c r="O17" i="15"/>
  <c r="N17" i="15"/>
  <c r="M17" i="15"/>
  <c r="L17" i="15"/>
  <c r="K17" i="15"/>
  <c r="O16" i="15"/>
  <c r="N16" i="15"/>
  <c r="M16" i="15"/>
  <c r="L16" i="15"/>
  <c r="K16" i="15"/>
  <c r="K15" i="15"/>
  <c r="I15" i="15"/>
  <c r="O15" i="15" s="1"/>
  <c r="H15" i="15"/>
  <c r="N15" i="15" s="1"/>
  <c r="G15" i="15"/>
  <c r="M15" i="15" s="1"/>
  <c r="F15" i="15"/>
  <c r="L15" i="15" s="1"/>
  <c r="K14" i="15"/>
  <c r="I14" i="15"/>
  <c r="O14" i="15" s="1"/>
  <c r="H14" i="15"/>
  <c r="N14" i="15" s="1"/>
  <c r="G14" i="15"/>
  <c r="M14" i="15" s="1"/>
  <c r="F14" i="15"/>
  <c r="L14" i="15" s="1"/>
  <c r="K13" i="15"/>
  <c r="I13" i="15"/>
  <c r="O13" i="15" s="1"/>
  <c r="H13" i="15"/>
  <c r="N13" i="15" s="1"/>
  <c r="G13" i="15"/>
  <c r="M13" i="15" s="1"/>
  <c r="F13" i="15"/>
  <c r="L13" i="15" s="1"/>
  <c r="K12" i="15"/>
  <c r="I12" i="15"/>
  <c r="O12" i="15" s="1"/>
  <c r="H12" i="15"/>
  <c r="N12" i="15" s="1"/>
  <c r="G12" i="15"/>
  <c r="M12" i="15" s="1"/>
  <c r="F12" i="15"/>
  <c r="L12" i="15" s="1"/>
  <c r="K11" i="15"/>
  <c r="I11" i="15"/>
  <c r="O11" i="15" s="1"/>
  <c r="H11" i="15"/>
  <c r="N11" i="15" s="1"/>
  <c r="G11" i="15"/>
  <c r="M11" i="15" s="1"/>
  <c r="F11" i="15"/>
  <c r="L11" i="15" s="1"/>
  <c r="K10" i="15"/>
  <c r="I10" i="15"/>
  <c r="O10" i="15" s="1"/>
  <c r="H10" i="15"/>
  <c r="N10" i="15" s="1"/>
  <c r="G10" i="15"/>
  <c r="M10" i="15" s="1"/>
  <c r="F10" i="15"/>
  <c r="L10" i="15" s="1"/>
  <c r="N9" i="15"/>
  <c r="K9" i="15"/>
  <c r="I9" i="15"/>
  <c r="O9" i="15" s="1"/>
  <c r="H9" i="15"/>
  <c r="G9" i="15"/>
  <c r="M9" i="15" s="1"/>
  <c r="F9" i="15"/>
  <c r="L9" i="15" s="1"/>
  <c r="K8" i="15"/>
  <c r="I8" i="15"/>
  <c r="O8" i="15" s="1"/>
  <c r="H8" i="15"/>
  <c r="N8" i="15" s="1"/>
  <c r="G8" i="15"/>
  <c r="M8" i="15" s="1"/>
  <c r="F8" i="15"/>
  <c r="L8" i="15" s="1"/>
  <c r="K7" i="15"/>
  <c r="I7" i="15"/>
  <c r="O7" i="15" s="1"/>
  <c r="H7" i="15"/>
  <c r="N7" i="15" s="1"/>
  <c r="G7" i="15"/>
  <c r="M7" i="15" s="1"/>
  <c r="F7" i="15"/>
  <c r="L7" i="15" s="1"/>
  <c r="M6" i="15"/>
  <c r="K6" i="15"/>
  <c r="I6" i="15"/>
  <c r="O6" i="15" s="1"/>
  <c r="H6" i="15"/>
  <c r="N6" i="15" s="1"/>
  <c r="G6" i="15"/>
  <c r="F6" i="15"/>
  <c r="L6" i="15" s="1"/>
  <c r="N5" i="15"/>
  <c r="K5" i="15"/>
  <c r="I5" i="15"/>
  <c r="O5" i="15" s="1"/>
  <c r="H5" i="15"/>
  <c r="G5" i="15"/>
  <c r="M5" i="15" s="1"/>
  <c r="F5" i="15"/>
  <c r="L5" i="15" s="1"/>
  <c r="L4" i="15"/>
  <c r="K4" i="15"/>
  <c r="I4" i="15"/>
  <c r="O4" i="15" s="1"/>
  <c r="H4" i="15"/>
  <c r="N4" i="15" s="1"/>
  <c r="G4" i="15"/>
  <c r="M4" i="15" s="1"/>
  <c r="F4" i="15"/>
  <c r="M68" i="11"/>
  <c r="L68" i="11"/>
  <c r="P68" i="11"/>
  <c r="O68" i="11"/>
  <c r="N68" i="11"/>
  <c r="N67" i="11"/>
  <c r="M67" i="11"/>
  <c r="L67" i="11"/>
  <c r="P67" i="11"/>
  <c r="O67" i="11"/>
  <c r="P66" i="11"/>
  <c r="O66" i="11"/>
  <c r="N66" i="11"/>
  <c r="M66" i="11"/>
  <c r="L66" i="11"/>
  <c r="L65" i="11"/>
  <c r="P65" i="11"/>
  <c r="O65" i="11"/>
  <c r="N65" i="11"/>
  <c r="M65" i="11"/>
  <c r="M64" i="11"/>
  <c r="L64" i="11"/>
  <c r="P64" i="11"/>
  <c r="O64" i="11"/>
  <c r="N64" i="11"/>
  <c r="L63" i="11"/>
  <c r="P63" i="11"/>
  <c r="O63" i="11"/>
  <c r="N63" i="11"/>
  <c r="M63" i="11"/>
  <c r="L62" i="11"/>
  <c r="P62" i="11"/>
  <c r="O62" i="11"/>
  <c r="N62" i="11"/>
  <c r="M62" i="11"/>
  <c r="N61" i="11"/>
  <c r="M61" i="11"/>
  <c r="L61" i="11"/>
  <c r="P61" i="11"/>
  <c r="O61" i="11"/>
  <c r="L60" i="11"/>
  <c r="P60" i="11"/>
  <c r="O60" i="11"/>
  <c r="N60" i="11"/>
  <c r="M60" i="11"/>
  <c r="L59" i="11"/>
  <c r="P59" i="11"/>
  <c r="O59" i="11"/>
  <c r="N59" i="11"/>
  <c r="M59" i="11"/>
  <c r="N58" i="11"/>
  <c r="M58" i="11"/>
  <c r="L58" i="11"/>
  <c r="P58" i="11"/>
  <c r="O58" i="11"/>
  <c r="L57" i="11"/>
  <c r="P57" i="11"/>
  <c r="O57" i="11"/>
  <c r="N57" i="11"/>
  <c r="M57" i="11"/>
  <c r="L56" i="11"/>
  <c r="P56" i="11"/>
  <c r="O56" i="11"/>
  <c r="N56" i="11"/>
  <c r="M56" i="11"/>
  <c r="L55" i="11"/>
  <c r="P55" i="11"/>
  <c r="O55" i="11"/>
  <c r="N55" i="11"/>
  <c r="M55" i="11"/>
  <c r="N54" i="11"/>
  <c r="M54" i="11"/>
  <c r="L54" i="11"/>
  <c r="P54" i="11"/>
  <c r="O54" i="11"/>
  <c r="P51" i="11"/>
  <c r="O51" i="11"/>
  <c r="L51" i="11"/>
  <c r="H51" i="11"/>
  <c r="N51" i="11" s="1"/>
  <c r="G51" i="11"/>
  <c r="M51" i="11" s="1"/>
  <c r="P50" i="11"/>
  <c r="O50" i="11"/>
  <c r="L50" i="11"/>
  <c r="H50" i="11"/>
  <c r="N50" i="11" s="1"/>
  <c r="G50" i="11"/>
  <c r="M50" i="11" s="1"/>
  <c r="L49" i="11"/>
  <c r="J49" i="11"/>
  <c r="P49" i="11" s="1"/>
  <c r="I49" i="11"/>
  <c r="O49" i="11" s="1"/>
  <c r="H49" i="11"/>
  <c r="N49" i="11" s="1"/>
  <c r="G49" i="11"/>
  <c r="M49" i="11" s="1"/>
  <c r="P48" i="11"/>
  <c r="O48" i="11"/>
  <c r="L48" i="11"/>
  <c r="N48" i="11"/>
  <c r="M48" i="11"/>
  <c r="N45" i="11"/>
  <c r="M45" i="11"/>
  <c r="L45" i="11"/>
  <c r="J45" i="11"/>
  <c r="P45" i="11" s="1"/>
  <c r="I45" i="11"/>
  <c r="O45" i="11" s="1"/>
  <c r="N44" i="11"/>
  <c r="M44" i="11"/>
  <c r="L44" i="11"/>
  <c r="J44" i="11"/>
  <c r="P44" i="11" s="1"/>
  <c r="I44" i="11"/>
  <c r="O44" i="11" s="1"/>
  <c r="P43" i="11"/>
  <c r="O43" i="11"/>
  <c r="N43" i="11"/>
  <c r="M43" i="11"/>
  <c r="L43" i="11"/>
  <c r="P42" i="11"/>
  <c r="O42" i="11"/>
  <c r="N42" i="11"/>
  <c r="M42" i="11"/>
  <c r="L42" i="11"/>
  <c r="L39" i="11"/>
  <c r="J39" i="11"/>
  <c r="P39" i="11" s="1"/>
  <c r="I39" i="11"/>
  <c r="O39" i="11" s="1"/>
  <c r="H39" i="11"/>
  <c r="N39" i="11" s="1"/>
  <c r="G39" i="11"/>
  <c r="M39" i="11" s="1"/>
  <c r="P38" i="11"/>
  <c r="O38" i="11"/>
  <c r="N38" i="11"/>
  <c r="M38" i="11"/>
  <c r="L38" i="11"/>
  <c r="P37" i="11"/>
  <c r="O37" i="11"/>
  <c r="N37" i="11"/>
  <c r="M37" i="11"/>
  <c r="L37" i="11"/>
  <c r="L36" i="11"/>
  <c r="J36" i="11"/>
  <c r="P36" i="11" s="1"/>
  <c r="I36" i="11"/>
  <c r="O36" i="11" s="1"/>
  <c r="H36" i="11"/>
  <c r="N36" i="11" s="1"/>
  <c r="G36" i="11"/>
  <c r="M36" i="11" s="1"/>
  <c r="L35" i="11"/>
  <c r="J35" i="11"/>
  <c r="P35" i="11" s="1"/>
  <c r="I35" i="11"/>
  <c r="O35" i="11" s="1"/>
  <c r="H35" i="11"/>
  <c r="N35" i="11" s="1"/>
  <c r="G35" i="11"/>
  <c r="M35" i="11" s="1"/>
  <c r="L34" i="11"/>
  <c r="J34" i="11"/>
  <c r="P34" i="11" s="1"/>
  <c r="I34" i="11"/>
  <c r="O34" i="11" s="1"/>
  <c r="H34" i="11"/>
  <c r="N34" i="11" s="1"/>
  <c r="G34" i="11"/>
  <c r="M34" i="11" s="1"/>
  <c r="P33" i="11"/>
  <c r="O33" i="11"/>
  <c r="N33" i="11"/>
  <c r="M33" i="11"/>
  <c r="L33" i="11"/>
  <c r="L32" i="11"/>
  <c r="J32" i="11"/>
  <c r="P32" i="11" s="1"/>
  <c r="I32" i="11"/>
  <c r="O32" i="11" s="1"/>
  <c r="H32" i="11"/>
  <c r="N32" i="11" s="1"/>
  <c r="G32" i="11"/>
  <c r="M32" i="11" s="1"/>
  <c r="L31" i="11"/>
  <c r="J31" i="11"/>
  <c r="P31" i="11" s="1"/>
  <c r="I31" i="11"/>
  <c r="O31" i="11" s="1"/>
  <c r="H31" i="11"/>
  <c r="N31" i="11" s="1"/>
  <c r="G31" i="11"/>
  <c r="M31" i="11" s="1"/>
  <c r="L30" i="11"/>
  <c r="J30" i="11"/>
  <c r="P30" i="11" s="1"/>
  <c r="I30" i="11"/>
  <c r="O30" i="11" s="1"/>
  <c r="H30" i="11"/>
  <c r="N30" i="11" s="1"/>
  <c r="G30" i="11"/>
  <c r="M30" i="11" s="1"/>
  <c r="L27" i="11"/>
  <c r="P27" i="11"/>
  <c r="O27" i="11"/>
  <c r="N27" i="11"/>
  <c r="M27" i="11"/>
  <c r="L26" i="11"/>
  <c r="P26" i="11"/>
  <c r="O26" i="11"/>
  <c r="N26" i="11"/>
  <c r="M26" i="11"/>
  <c r="L25" i="11"/>
  <c r="P25" i="11"/>
  <c r="O25" i="11"/>
  <c r="N25" i="11"/>
  <c r="M25" i="11"/>
  <c r="L24" i="11"/>
  <c r="P24" i="11"/>
  <c r="O24" i="11"/>
  <c r="N24" i="11"/>
  <c r="M24" i="11"/>
  <c r="L23" i="11"/>
  <c r="P23" i="11"/>
  <c r="O23" i="11"/>
  <c r="N23" i="11"/>
  <c r="M23" i="11"/>
  <c r="L22" i="11"/>
  <c r="P22" i="11"/>
  <c r="O22" i="11"/>
  <c r="N22" i="11"/>
  <c r="M22" i="11"/>
  <c r="L21" i="11"/>
  <c r="P21" i="11"/>
  <c r="O21" i="11"/>
  <c r="N21" i="11"/>
  <c r="M21" i="11"/>
  <c r="L20" i="11"/>
  <c r="P20" i="11"/>
  <c r="O20" i="11"/>
  <c r="N20" i="11"/>
  <c r="M20" i="11"/>
  <c r="L19" i="11"/>
  <c r="P19" i="11"/>
  <c r="O19" i="11"/>
  <c r="N19" i="11"/>
  <c r="M19" i="11"/>
  <c r="L18" i="11"/>
  <c r="P18" i="11"/>
  <c r="O18" i="11"/>
  <c r="N18" i="11"/>
  <c r="M18" i="11"/>
  <c r="L17" i="11"/>
  <c r="J17" i="11"/>
  <c r="P17" i="11" s="1"/>
  <c r="I17" i="11"/>
  <c r="O17" i="11" s="1"/>
  <c r="H17" i="11"/>
  <c r="N17" i="11" s="1"/>
  <c r="G17" i="11"/>
  <c r="M17" i="11" s="1"/>
  <c r="L16" i="11"/>
  <c r="P16" i="11"/>
  <c r="O16" i="11"/>
  <c r="N16" i="11"/>
  <c r="M16" i="11"/>
  <c r="L15" i="11"/>
  <c r="P15" i="11"/>
  <c r="O15" i="11"/>
  <c r="N15" i="11"/>
  <c r="M15" i="11"/>
  <c r="L14" i="11"/>
  <c r="P14" i="11"/>
  <c r="O14" i="11"/>
  <c r="N14" i="11"/>
  <c r="M14" i="11"/>
  <c r="L13" i="11"/>
  <c r="P13" i="11"/>
  <c r="O13" i="11"/>
  <c r="N13" i="11"/>
  <c r="M13" i="11"/>
  <c r="P12" i="11"/>
  <c r="O12" i="11"/>
  <c r="N12" i="11"/>
  <c r="M12" i="11"/>
  <c r="L11" i="11"/>
  <c r="J11" i="11"/>
  <c r="P11" i="11" s="1"/>
  <c r="I11" i="11"/>
  <c r="O11" i="11" s="1"/>
  <c r="H11" i="11"/>
  <c r="N11" i="11" s="1"/>
  <c r="G11" i="11"/>
  <c r="M11" i="11" s="1"/>
  <c r="L10" i="11"/>
  <c r="P10" i="11"/>
  <c r="O10" i="11"/>
  <c r="N10" i="11"/>
  <c r="M10" i="11"/>
  <c r="L9" i="11"/>
  <c r="P9" i="11"/>
  <c r="O9" i="11"/>
  <c r="N9" i="11"/>
  <c r="M9" i="11"/>
  <c r="L8" i="11"/>
  <c r="P8" i="11"/>
  <c r="O8" i="11"/>
  <c r="N8" i="11"/>
  <c r="M8" i="11"/>
  <c r="L7" i="11"/>
  <c r="P7" i="11"/>
  <c r="O7" i="11"/>
  <c r="N7" i="11"/>
  <c r="M7" i="11"/>
  <c r="L6" i="11"/>
  <c r="P6" i="11"/>
  <c r="O6" i="11"/>
  <c r="N6" i="11"/>
  <c r="M6" i="11"/>
  <c r="L5" i="11"/>
  <c r="P5" i="11"/>
  <c r="O5" i="11"/>
  <c r="N5" i="11"/>
  <c r="M5" i="11"/>
  <c r="L4" i="11"/>
  <c r="P4" i="11"/>
  <c r="O4" i="11"/>
  <c r="N4" i="11"/>
  <c r="M4" i="11"/>
  <c r="N229" i="15" l="1"/>
  <c r="L52" i="11"/>
  <c r="N40" i="11"/>
  <c r="P69" i="11"/>
  <c r="M69" i="11"/>
  <c r="N69" i="11"/>
  <c r="L69" i="11"/>
  <c r="P52" i="11"/>
  <c r="O52" i="11"/>
  <c r="N52" i="11"/>
  <c r="M46" i="11"/>
  <c r="N46" i="11"/>
  <c r="L46" i="11"/>
  <c r="O46" i="11"/>
  <c r="L40" i="11"/>
  <c r="L28" i="11"/>
  <c r="N28" i="11"/>
  <c r="L229" i="15"/>
  <c r="M229" i="15"/>
  <c r="O229" i="15"/>
  <c r="M28" i="11"/>
  <c r="M40" i="11"/>
  <c r="O28" i="11"/>
  <c r="P46" i="11"/>
  <c r="O40" i="11"/>
  <c r="O69" i="11"/>
  <c r="P28" i="11"/>
  <c r="P40" i="11"/>
  <c r="M52" i="11"/>
  <c r="L70" i="11" l="1"/>
  <c r="N70" i="11"/>
  <c r="K229" i="15"/>
  <c r="P70" i="11"/>
  <c r="O70" i="11"/>
  <c r="M70" i="11"/>
  <c r="P64" i="8" l="1"/>
  <c r="O64" i="8"/>
  <c r="N64" i="8"/>
  <c r="M64" i="8"/>
  <c r="L64" i="8"/>
  <c r="P63" i="8"/>
  <c r="O63" i="8"/>
  <c r="N63" i="8"/>
  <c r="M63" i="8"/>
  <c r="L63" i="8"/>
  <c r="P62" i="8"/>
  <c r="O62" i="8"/>
  <c r="N62" i="8"/>
  <c r="M62" i="8"/>
  <c r="L62" i="8"/>
  <c r="P61" i="8"/>
  <c r="O61" i="8"/>
  <c r="N61" i="8"/>
  <c r="M61" i="8"/>
  <c r="L61" i="8"/>
  <c r="P60" i="8"/>
  <c r="O60" i="8"/>
  <c r="N60" i="8"/>
  <c r="M60" i="8"/>
  <c r="L60" i="8"/>
  <c r="P59" i="8"/>
  <c r="O59" i="8"/>
  <c r="N59" i="8"/>
  <c r="M59" i="8"/>
  <c r="L59" i="8"/>
  <c r="P58" i="8"/>
  <c r="O58" i="8"/>
  <c r="N58" i="8"/>
  <c r="M58" i="8"/>
  <c r="L58" i="8"/>
  <c r="P56" i="8"/>
  <c r="O56" i="8"/>
  <c r="N56" i="8"/>
  <c r="M56" i="8"/>
  <c r="D56" i="8"/>
  <c r="L56" i="8" s="1"/>
  <c r="P55" i="8"/>
  <c r="O55" i="8"/>
  <c r="N55" i="8"/>
  <c r="M55" i="8"/>
  <c r="D55" i="8"/>
  <c r="L55" i="8" s="1"/>
  <c r="P54" i="8"/>
  <c r="O54" i="8"/>
  <c r="N54" i="8"/>
  <c r="M54" i="8"/>
  <c r="D54" i="8"/>
  <c r="L54" i="8" s="1"/>
  <c r="P53" i="8"/>
  <c r="O53" i="8"/>
  <c r="N53" i="8"/>
  <c r="M53" i="8"/>
  <c r="L53" i="8"/>
  <c r="P49" i="8"/>
  <c r="O49" i="8"/>
  <c r="N49" i="8"/>
  <c r="M49" i="8"/>
  <c r="L49" i="8"/>
  <c r="P47" i="8"/>
  <c r="O47" i="8"/>
  <c r="N47" i="8"/>
  <c r="M47" i="8"/>
  <c r="L47" i="8"/>
  <c r="P46" i="8"/>
  <c r="O46" i="8"/>
  <c r="N46" i="8"/>
  <c r="M46" i="8"/>
  <c r="L46" i="8"/>
  <c r="P45" i="8"/>
  <c r="O45" i="8"/>
  <c r="N45" i="8"/>
  <c r="M45" i="8"/>
  <c r="L45" i="8"/>
  <c r="P44" i="8"/>
  <c r="O44" i="8"/>
  <c r="N44" i="8"/>
  <c r="M44" i="8"/>
  <c r="P42" i="8"/>
  <c r="O42" i="8"/>
  <c r="N42" i="8"/>
  <c r="M42" i="8"/>
  <c r="D42" i="8"/>
  <c r="L42" i="8" s="1"/>
  <c r="P41" i="8"/>
  <c r="O41" i="8"/>
  <c r="N41" i="8"/>
  <c r="M41" i="8"/>
  <c r="D41" i="8"/>
  <c r="L41" i="8" s="1"/>
  <c r="P40" i="8"/>
  <c r="O40" i="8"/>
  <c r="N40" i="8"/>
  <c r="M40" i="8"/>
  <c r="D40" i="8"/>
  <c r="L40" i="8" s="1"/>
  <c r="P39" i="8"/>
  <c r="O39" i="8"/>
  <c r="N39" i="8"/>
  <c r="M39" i="8"/>
  <c r="D39" i="8"/>
  <c r="L39" i="8" s="1"/>
  <c r="P38" i="8"/>
  <c r="O38" i="8"/>
  <c r="N38" i="8"/>
  <c r="M38" i="8"/>
  <c r="L38" i="8"/>
  <c r="P37" i="8"/>
  <c r="O37" i="8"/>
  <c r="N37" i="8"/>
  <c r="M37" i="8"/>
  <c r="L37" i="8"/>
  <c r="P36" i="8"/>
  <c r="O36" i="8"/>
  <c r="N36" i="8"/>
  <c r="M36" i="8"/>
  <c r="L36" i="8"/>
  <c r="P35" i="8"/>
  <c r="O35" i="8"/>
  <c r="N35" i="8"/>
  <c r="M35" i="8"/>
  <c r="D35" i="8"/>
  <c r="L35" i="8" s="1"/>
  <c r="P34" i="8"/>
  <c r="O34" i="8"/>
  <c r="N34" i="8"/>
  <c r="M34" i="8"/>
  <c r="L34" i="8"/>
  <c r="P33" i="8"/>
  <c r="O33" i="8"/>
  <c r="N33" i="8"/>
  <c r="M33" i="8"/>
  <c r="L33" i="8"/>
  <c r="P32" i="8"/>
  <c r="O32" i="8"/>
  <c r="N32" i="8"/>
  <c r="M32" i="8"/>
  <c r="L32" i="8"/>
  <c r="P31" i="8"/>
  <c r="O31" i="8"/>
  <c r="N31" i="8"/>
  <c r="M31" i="8"/>
  <c r="L31" i="8"/>
  <c r="P30" i="8"/>
  <c r="O30" i="8"/>
  <c r="N30" i="8"/>
  <c r="M30" i="8"/>
  <c r="L30" i="8"/>
  <c r="P29" i="8"/>
  <c r="O29" i="8"/>
  <c r="N29" i="8"/>
  <c r="M29" i="8"/>
  <c r="L29" i="8"/>
  <c r="P28" i="8"/>
  <c r="O28" i="8"/>
  <c r="N28" i="8"/>
  <c r="M28" i="8"/>
  <c r="D28" i="8"/>
  <c r="L28" i="8" s="1"/>
  <c r="P27" i="8"/>
  <c r="O27" i="8"/>
  <c r="N27" i="8"/>
  <c r="M27" i="8"/>
  <c r="D27" i="8"/>
  <c r="L27" i="8" s="1"/>
  <c r="P26" i="8"/>
  <c r="O26" i="8"/>
  <c r="N26" i="8"/>
  <c r="M26" i="8"/>
  <c r="D26" i="8"/>
  <c r="L26" i="8" s="1"/>
  <c r="P25" i="8"/>
  <c r="O25" i="8"/>
  <c r="N25" i="8"/>
  <c r="M25" i="8"/>
  <c r="D25" i="8"/>
  <c r="L25" i="8" s="1"/>
  <c r="P24" i="8"/>
  <c r="O24" i="8"/>
  <c r="N24" i="8"/>
  <c r="M24" i="8"/>
  <c r="D24" i="8"/>
  <c r="L24" i="8" s="1"/>
  <c r="P23" i="8"/>
  <c r="O23" i="8"/>
  <c r="N23" i="8"/>
  <c r="M23" i="8"/>
  <c r="L23" i="8"/>
  <c r="P22" i="8"/>
  <c r="O22" i="8"/>
  <c r="N22" i="8"/>
  <c r="M22" i="8"/>
  <c r="L22" i="8"/>
  <c r="P21" i="8"/>
  <c r="O21" i="8"/>
  <c r="N21" i="8"/>
  <c r="M21" i="8"/>
  <c r="L21" i="8"/>
  <c r="P20" i="8"/>
  <c r="O20" i="8"/>
  <c r="N20" i="8"/>
  <c r="M20" i="8"/>
  <c r="L20" i="8"/>
  <c r="P19" i="8"/>
  <c r="O19" i="8"/>
  <c r="N19" i="8"/>
  <c r="M19" i="8"/>
  <c r="L19" i="8"/>
  <c r="P18" i="8"/>
  <c r="O18" i="8"/>
  <c r="N18" i="8"/>
  <c r="M18" i="8"/>
  <c r="L18" i="8"/>
  <c r="P17" i="8"/>
  <c r="O17" i="8"/>
  <c r="N17" i="8"/>
  <c r="M17" i="8"/>
  <c r="L17" i="8"/>
  <c r="P16" i="8"/>
  <c r="O16" i="8"/>
  <c r="N16" i="8"/>
  <c r="M16" i="8"/>
  <c r="L16" i="8"/>
  <c r="P15" i="8"/>
  <c r="O15" i="8"/>
  <c r="N15" i="8"/>
  <c r="M15" i="8"/>
  <c r="D15" i="8"/>
  <c r="L15" i="8" s="1"/>
  <c r="P14" i="8"/>
  <c r="O14" i="8"/>
  <c r="N14" i="8"/>
  <c r="M14" i="8"/>
  <c r="L14" i="8"/>
  <c r="P13" i="8"/>
  <c r="O13" i="8"/>
  <c r="N13" i="8"/>
  <c r="M13" i="8"/>
  <c r="L13" i="8"/>
  <c r="P12" i="8"/>
  <c r="O12" i="8"/>
  <c r="N12" i="8"/>
  <c r="M12" i="8"/>
  <c r="L12" i="8"/>
  <c r="P11" i="8"/>
  <c r="O11" i="8"/>
  <c r="N11" i="8"/>
  <c r="M11" i="8"/>
  <c r="L11" i="8"/>
  <c r="P10" i="8"/>
  <c r="O10" i="8"/>
  <c r="N10" i="8"/>
  <c r="M10" i="8"/>
  <c r="L10" i="8"/>
  <c r="P9" i="8"/>
  <c r="O9" i="8"/>
  <c r="N9" i="8"/>
  <c r="M9" i="8"/>
  <c r="L9" i="8"/>
  <c r="P8" i="8"/>
  <c r="O8" i="8"/>
  <c r="N8" i="8"/>
  <c r="M8" i="8"/>
  <c r="L8" i="8"/>
  <c r="P7" i="8"/>
  <c r="O7" i="8"/>
  <c r="N7" i="8"/>
  <c r="M7" i="8"/>
  <c r="L7" i="8"/>
  <c r="P6" i="8"/>
  <c r="O6" i="8"/>
  <c r="N6" i="8"/>
  <c r="M6" i="8"/>
  <c r="L6" i="8"/>
  <c r="P5" i="8"/>
  <c r="O5" i="8"/>
  <c r="N5" i="8"/>
  <c r="M5" i="8"/>
  <c r="L5" i="8"/>
  <c r="P4" i="8"/>
  <c r="O4" i="8"/>
  <c r="N4" i="8"/>
  <c r="M4" i="8"/>
  <c r="L4" i="8"/>
  <c r="Q40" i="5"/>
  <c r="P40" i="5"/>
  <c r="O40" i="5"/>
  <c r="N40" i="5"/>
  <c r="M40" i="5"/>
  <c r="Q39" i="5"/>
  <c r="P39" i="5"/>
  <c r="O39" i="5"/>
  <c r="N39" i="5"/>
  <c r="M39" i="5"/>
  <c r="Q38" i="5"/>
  <c r="P38" i="5"/>
  <c r="O38" i="5"/>
  <c r="N38" i="5"/>
  <c r="M38" i="5"/>
  <c r="Q37" i="5"/>
  <c r="P37" i="5"/>
  <c r="O37" i="5"/>
  <c r="N37" i="5"/>
  <c r="M37" i="5"/>
  <c r="Q36" i="5"/>
  <c r="P36" i="5"/>
  <c r="O36" i="5"/>
  <c r="N36" i="5"/>
  <c r="M36" i="5"/>
  <c r="Q35" i="5"/>
  <c r="P35" i="5"/>
  <c r="O35" i="5"/>
  <c r="N35" i="5"/>
  <c r="M35" i="5"/>
  <c r="Q34" i="5"/>
  <c r="P34" i="5"/>
  <c r="O34" i="5"/>
  <c r="N34" i="5"/>
  <c r="M34" i="5"/>
  <c r="Q33" i="5"/>
  <c r="P33" i="5"/>
  <c r="O33" i="5"/>
  <c r="N33" i="5"/>
  <c r="M33" i="5"/>
  <c r="Q32" i="5"/>
  <c r="P32" i="5"/>
  <c r="O32" i="5"/>
  <c r="N32" i="5"/>
  <c r="M32" i="5"/>
  <c r="Q31" i="5"/>
  <c r="P31" i="5"/>
  <c r="O31" i="5"/>
  <c r="N31" i="5"/>
  <c r="M31" i="5"/>
  <c r="Q30" i="5"/>
  <c r="P30" i="5"/>
  <c r="O30" i="5"/>
  <c r="N30" i="5"/>
  <c r="M30" i="5"/>
  <c r="Q29" i="5"/>
  <c r="P29" i="5"/>
  <c r="O29" i="5"/>
  <c r="N29" i="5"/>
  <c r="M29" i="5"/>
  <c r="Q28" i="5"/>
  <c r="P28" i="5"/>
  <c r="O28" i="5"/>
  <c r="N28" i="5"/>
  <c r="M28" i="5"/>
  <c r="Q27" i="5"/>
  <c r="P27" i="5"/>
  <c r="O27" i="5"/>
  <c r="N27" i="5"/>
  <c r="M27" i="5"/>
  <c r="Q26" i="5"/>
  <c r="P26" i="5"/>
  <c r="O26" i="5"/>
  <c r="N26" i="5"/>
  <c r="M26" i="5"/>
  <c r="Q25" i="5"/>
  <c r="P25" i="5"/>
  <c r="O25" i="5"/>
  <c r="N25" i="5"/>
  <c r="M25" i="5"/>
  <c r="Q24" i="5"/>
  <c r="P24" i="5"/>
  <c r="O24" i="5"/>
  <c r="N24" i="5"/>
  <c r="M24" i="5"/>
  <c r="Q23" i="5"/>
  <c r="P23" i="5"/>
  <c r="O23" i="5"/>
  <c r="N23" i="5"/>
  <c r="M23" i="5"/>
  <c r="Q22" i="5"/>
  <c r="P22" i="5"/>
  <c r="O22" i="5"/>
  <c r="N22" i="5"/>
  <c r="M22" i="5"/>
  <c r="Q21" i="5"/>
  <c r="P21" i="5"/>
  <c r="O21" i="5"/>
  <c r="N21" i="5"/>
  <c r="M21" i="5"/>
  <c r="Q20" i="5"/>
  <c r="P20" i="5"/>
  <c r="O20" i="5"/>
  <c r="N20" i="5"/>
  <c r="M20" i="5"/>
  <c r="Q19" i="5"/>
  <c r="P19" i="5"/>
  <c r="O19" i="5"/>
  <c r="N19" i="5"/>
  <c r="M19" i="5"/>
  <c r="Q18" i="5"/>
  <c r="P18" i="5"/>
  <c r="O18" i="5"/>
  <c r="N18" i="5"/>
  <c r="M18" i="5"/>
  <c r="Q17" i="5"/>
  <c r="P17" i="5"/>
  <c r="O17" i="5"/>
  <c r="N17" i="5"/>
  <c r="M17" i="5"/>
  <c r="Q16" i="5"/>
  <c r="P16" i="5"/>
  <c r="O16" i="5"/>
  <c r="N16" i="5"/>
  <c r="M16" i="5"/>
  <c r="Q15" i="5"/>
  <c r="P15" i="5"/>
  <c r="O15" i="5"/>
  <c r="N15" i="5"/>
  <c r="M15" i="5"/>
  <c r="Q14" i="5"/>
  <c r="P14" i="5"/>
  <c r="O14" i="5"/>
  <c r="N14" i="5"/>
  <c r="M14" i="5"/>
  <c r="Q13" i="5"/>
  <c r="P13" i="5"/>
  <c r="O13" i="5"/>
  <c r="N13" i="5"/>
  <c r="M13" i="5"/>
  <c r="Q12" i="5"/>
  <c r="P12" i="5"/>
  <c r="O12" i="5"/>
  <c r="N12" i="5"/>
  <c r="M12" i="5"/>
  <c r="Q11" i="5"/>
  <c r="P11" i="5"/>
  <c r="O11" i="5"/>
  <c r="N11" i="5"/>
  <c r="M11" i="5"/>
  <c r="Q9" i="5"/>
  <c r="Q8" i="5" s="1"/>
  <c r="P9" i="5"/>
  <c r="P8" i="5" s="1"/>
  <c r="O9" i="5"/>
  <c r="O8" i="5" s="1"/>
  <c r="N9" i="5"/>
  <c r="N8" i="5" s="1"/>
  <c r="M9" i="5"/>
  <c r="M8" i="5" s="1"/>
  <c r="Q7" i="5"/>
  <c r="Q6" i="5" s="1"/>
  <c r="P7" i="5"/>
  <c r="P6" i="5" s="1"/>
  <c r="O7" i="5"/>
  <c r="O6" i="5" s="1"/>
  <c r="N7" i="5"/>
  <c r="N6" i="5" s="1"/>
  <c r="M7" i="5"/>
  <c r="M6" i="5" s="1"/>
  <c r="Q5" i="5"/>
  <c r="Q4" i="5" s="1"/>
  <c r="P5" i="5"/>
  <c r="P4" i="5" s="1"/>
  <c r="O5" i="5"/>
  <c r="O4" i="5" s="1"/>
  <c r="N5" i="5"/>
  <c r="N4" i="5" s="1"/>
  <c r="M5" i="5"/>
  <c r="M4" i="5" s="1"/>
  <c r="Q10" i="5" l="1"/>
  <c r="Q41" i="5" s="1"/>
  <c r="M10" i="5"/>
  <c r="M41" i="5" s="1"/>
  <c r="N10" i="5"/>
  <c r="N41" i="5" s="1"/>
  <c r="O10" i="5"/>
  <c r="O41" i="5" s="1"/>
  <c r="P10" i="5"/>
  <c r="P41" i="5" s="1"/>
  <c r="M57" i="8"/>
  <c r="N48" i="8"/>
  <c r="O48" i="8"/>
  <c r="M65" i="8"/>
  <c r="P48" i="8"/>
  <c r="M48" i="8"/>
  <c r="N65" i="8"/>
  <c r="O65" i="8"/>
  <c r="P65" i="8"/>
  <c r="N43" i="8"/>
  <c r="O43" i="8"/>
  <c r="M43" i="8"/>
  <c r="P43" i="8"/>
  <c r="L65" i="8"/>
  <c r="L43" i="8"/>
  <c r="L48" i="8"/>
  <c r="L57" i="8"/>
  <c r="N67" i="8" l="1"/>
  <c r="L67" i="8"/>
  <c r="P67" i="8"/>
  <c r="M67" i="8"/>
  <c r="O67" i="8"/>
  <c r="N71" i="8" l="1"/>
  <c r="P61" i="13"/>
  <c r="O61" i="13"/>
  <c r="N61" i="13"/>
  <c r="M61" i="13"/>
  <c r="L61" i="13"/>
  <c r="P60" i="13"/>
  <c r="O60" i="13"/>
  <c r="N60" i="13"/>
  <c r="M60" i="13"/>
  <c r="L60" i="13"/>
  <c r="P59" i="13"/>
  <c r="O59" i="13"/>
  <c r="N59" i="13"/>
  <c r="M59" i="13"/>
  <c r="L59" i="13"/>
  <c r="P58" i="13"/>
  <c r="O58" i="13"/>
  <c r="N58" i="13"/>
  <c r="M58" i="13"/>
  <c r="L58" i="13"/>
  <c r="P57" i="13"/>
  <c r="O57" i="13"/>
  <c r="N57" i="13"/>
  <c r="M57" i="13"/>
  <c r="L57" i="13"/>
  <c r="P56" i="13"/>
  <c r="O56" i="13"/>
  <c r="N56" i="13"/>
  <c r="M56" i="13"/>
  <c r="L56" i="13"/>
  <c r="M55" i="13"/>
  <c r="P54" i="13"/>
  <c r="O54" i="13"/>
  <c r="N54" i="13"/>
  <c r="M54" i="13"/>
  <c r="L54" i="13"/>
  <c r="P53" i="13"/>
  <c r="O53" i="13"/>
  <c r="N53" i="13"/>
  <c r="M53" i="13"/>
  <c r="L53" i="13"/>
  <c r="P52" i="13"/>
  <c r="O52" i="13"/>
  <c r="N52" i="13"/>
  <c r="M52" i="13"/>
  <c r="L52" i="13"/>
  <c r="P51" i="13"/>
  <c r="M51" i="13"/>
  <c r="P50" i="13"/>
  <c r="O50" i="13"/>
  <c r="N50" i="13"/>
  <c r="M50" i="13"/>
  <c r="L50" i="13"/>
  <c r="P49" i="13"/>
  <c r="O49" i="13"/>
  <c r="N49" i="13"/>
  <c r="M49" i="13"/>
  <c r="L49" i="13"/>
  <c r="P48" i="13"/>
  <c r="O48" i="13"/>
  <c r="N48" i="13"/>
  <c r="M48" i="13"/>
  <c r="L48" i="13"/>
  <c r="P47" i="13"/>
  <c r="O47" i="13"/>
  <c r="N47" i="13"/>
  <c r="M47" i="13"/>
  <c r="L47" i="13"/>
  <c r="P46" i="13"/>
  <c r="O46" i="13"/>
  <c r="N46" i="13"/>
  <c r="M46" i="13"/>
  <c r="L46" i="13"/>
  <c r="M45" i="13"/>
  <c r="P44" i="13"/>
  <c r="O44" i="13"/>
  <c r="N44" i="13"/>
  <c r="M44" i="13"/>
  <c r="L44" i="13"/>
  <c r="P43" i="13"/>
  <c r="O43" i="13"/>
  <c r="N43" i="13"/>
  <c r="M43" i="13"/>
  <c r="L43" i="13"/>
  <c r="P42" i="13"/>
  <c r="O42" i="13"/>
  <c r="N42" i="13"/>
  <c r="M42" i="13"/>
  <c r="L42" i="13"/>
  <c r="P41" i="13"/>
  <c r="O41" i="13"/>
  <c r="N41" i="13"/>
  <c r="M41" i="13"/>
  <c r="L41" i="13"/>
  <c r="M40" i="13"/>
  <c r="P39" i="13"/>
  <c r="O39" i="13"/>
  <c r="N39" i="13"/>
  <c r="M39" i="13"/>
  <c r="L39" i="13"/>
  <c r="P38" i="13"/>
  <c r="O38" i="13"/>
  <c r="N38" i="13"/>
  <c r="M38" i="13"/>
  <c r="L38" i="13"/>
  <c r="P37" i="13"/>
  <c r="O37" i="13"/>
  <c r="N37" i="13"/>
  <c r="M37" i="13"/>
  <c r="L37" i="13"/>
  <c r="P36" i="13"/>
  <c r="O36" i="13"/>
  <c r="N36" i="13"/>
  <c r="M36" i="13"/>
  <c r="L36" i="13"/>
  <c r="P35" i="13"/>
  <c r="M35" i="13"/>
  <c r="P34" i="13"/>
  <c r="O34" i="13"/>
  <c r="N34" i="13"/>
  <c r="M34" i="13"/>
  <c r="L34" i="13"/>
  <c r="P33" i="13"/>
  <c r="O33" i="13"/>
  <c r="N33" i="13"/>
  <c r="M33" i="13"/>
  <c r="L33" i="13"/>
  <c r="P32" i="13"/>
  <c r="O32" i="13"/>
  <c r="N32" i="13"/>
  <c r="M32" i="13"/>
  <c r="L32" i="13"/>
  <c r="P31" i="13"/>
  <c r="O31" i="13"/>
  <c r="N31" i="13"/>
  <c r="M31" i="13"/>
  <c r="L31" i="13"/>
  <c r="P30" i="13"/>
  <c r="O30" i="13"/>
  <c r="N30" i="13"/>
  <c r="M30" i="13"/>
  <c r="L30" i="13"/>
  <c r="P29" i="13"/>
  <c r="M29" i="13"/>
  <c r="P28" i="13"/>
  <c r="O28" i="13"/>
  <c r="N28" i="13"/>
  <c r="M28" i="13"/>
  <c r="L28" i="13"/>
  <c r="P27" i="13"/>
  <c r="O27" i="13"/>
  <c r="N27" i="13"/>
  <c r="M27" i="13"/>
  <c r="L27" i="13"/>
  <c r="P26" i="13"/>
  <c r="O26" i="13"/>
  <c r="N26" i="13"/>
  <c r="M26" i="13"/>
  <c r="L26" i="13"/>
  <c r="P25" i="13"/>
  <c r="M25" i="13"/>
  <c r="P24" i="13"/>
  <c r="O24" i="13"/>
  <c r="N24" i="13"/>
  <c r="M24" i="13"/>
  <c r="L24" i="13"/>
  <c r="P23" i="13"/>
  <c r="O23" i="13"/>
  <c r="N23" i="13"/>
  <c r="M23" i="13"/>
  <c r="L23" i="13"/>
  <c r="P22" i="13"/>
  <c r="O22" i="13"/>
  <c r="N22" i="13"/>
  <c r="M22" i="13"/>
  <c r="L22" i="13"/>
  <c r="P21" i="13"/>
  <c r="O21" i="13"/>
  <c r="N21" i="13"/>
  <c r="M21" i="13"/>
  <c r="L21" i="13"/>
  <c r="P20" i="13"/>
  <c r="O20" i="13"/>
  <c r="N20" i="13"/>
  <c r="M20" i="13"/>
  <c r="L20" i="13"/>
  <c r="P19" i="13"/>
  <c r="O19" i="13"/>
  <c r="N19" i="13"/>
  <c r="M19" i="13"/>
  <c r="L19" i="13"/>
  <c r="P18" i="13"/>
  <c r="O18" i="13"/>
  <c r="N18" i="13"/>
  <c r="M18" i="13"/>
  <c r="L18" i="13"/>
  <c r="P17" i="13"/>
  <c r="O17" i="13"/>
  <c r="N17" i="13"/>
  <c r="M17" i="13"/>
  <c r="L17" i="13"/>
  <c r="P16" i="13"/>
  <c r="O16" i="13"/>
  <c r="N16" i="13"/>
  <c r="M16" i="13"/>
  <c r="L16" i="13"/>
  <c r="P15" i="13"/>
  <c r="O15" i="13"/>
  <c r="N15" i="13"/>
  <c r="M15" i="13"/>
  <c r="L15" i="13"/>
  <c r="P14" i="13"/>
  <c r="O14" i="13"/>
  <c r="N14" i="13"/>
  <c r="M14" i="13"/>
  <c r="L14" i="13"/>
  <c r="P13" i="13"/>
  <c r="O13" i="13"/>
  <c r="N13" i="13"/>
  <c r="M13" i="13"/>
  <c r="L13" i="13"/>
  <c r="P12" i="13"/>
  <c r="O12" i="13"/>
  <c r="N12" i="13"/>
  <c r="M12" i="13"/>
  <c r="L12" i="13"/>
  <c r="P11" i="13"/>
  <c r="O11" i="13"/>
  <c r="N11" i="13"/>
  <c r="M11" i="13"/>
  <c r="L11" i="13"/>
  <c r="P10" i="13"/>
  <c r="O10" i="13"/>
  <c r="N10" i="13"/>
  <c r="M10" i="13"/>
  <c r="L10" i="13"/>
  <c r="P9" i="13"/>
  <c r="O9" i="13"/>
  <c r="N9" i="13"/>
  <c r="M9" i="13"/>
  <c r="L9" i="13"/>
  <c r="P8" i="13"/>
  <c r="O8" i="13"/>
  <c r="N8" i="13"/>
  <c r="M8" i="13"/>
  <c r="L8" i="13"/>
  <c r="M7" i="13"/>
  <c r="P6" i="13"/>
  <c r="O6" i="13"/>
  <c r="N6" i="13"/>
  <c r="M6" i="13"/>
  <c r="P5" i="13"/>
  <c r="O5" i="13"/>
  <c r="N5" i="13"/>
  <c r="M5" i="13"/>
  <c r="L5" i="13"/>
  <c r="P4" i="13"/>
  <c r="O4" i="13"/>
  <c r="N4" i="13"/>
  <c r="M4" i="13"/>
  <c r="L4" i="13"/>
  <c r="N55" i="13" l="1"/>
  <c r="P55" i="13"/>
  <c r="N45" i="13"/>
  <c r="N3" i="13"/>
  <c r="L3" i="13"/>
  <c r="O3" i="13"/>
  <c r="O45" i="13"/>
  <c r="O40" i="13"/>
  <c r="L35" i="13"/>
  <c r="O35" i="13"/>
  <c r="L7" i="13"/>
  <c r="N7" i="13"/>
  <c r="O7" i="13"/>
  <c r="P7" i="13"/>
  <c r="L55" i="13"/>
  <c r="L51" i="13"/>
  <c r="O29" i="13"/>
  <c r="P3" i="13"/>
  <c r="N25" i="13"/>
  <c r="L40" i="13"/>
  <c r="L25" i="13"/>
  <c r="O25" i="13"/>
  <c r="O55" i="13"/>
  <c r="N51" i="13"/>
  <c r="O51" i="13"/>
  <c r="L45" i="13"/>
  <c r="P45" i="13"/>
  <c r="N40" i="13"/>
  <c r="P40" i="13"/>
  <c r="N35" i="13"/>
  <c r="N29" i="13"/>
  <c r="L29" i="13"/>
  <c r="M3" i="13"/>
  <c r="M62" i="13" s="1"/>
  <c r="AI160" i="3"/>
  <c r="AH160" i="3"/>
  <c r="AH159" i="3" s="1"/>
  <c r="AG160" i="3"/>
  <c r="AF160" i="3"/>
  <c r="AF159" i="3" s="1"/>
  <c r="AI155" i="3"/>
  <c r="AH155" i="3"/>
  <c r="AG155" i="3"/>
  <c r="AF155" i="3"/>
  <c r="Y155" i="3"/>
  <c r="U155" i="3"/>
  <c r="R155" i="3"/>
  <c r="N155" i="3"/>
  <c r="AI154" i="3"/>
  <c r="AH154" i="3"/>
  <c r="AG154" i="3"/>
  <c r="AF154" i="3"/>
  <c r="Y154" i="3"/>
  <c r="U154" i="3"/>
  <c r="R154" i="3"/>
  <c r="N154" i="3"/>
  <c r="AC153" i="3"/>
  <c r="AB153" i="3"/>
  <c r="AA153" i="3"/>
  <c r="Z153" i="3"/>
  <c r="X153" i="3"/>
  <c r="W153" i="3"/>
  <c r="V153" i="3"/>
  <c r="T153" i="3"/>
  <c r="S153" i="3"/>
  <c r="Q153" i="3"/>
  <c r="P153" i="3"/>
  <c r="O153" i="3"/>
  <c r="M153" i="3"/>
  <c r="AI153" i="3" s="1"/>
  <c r="L153" i="3"/>
  <c r="K153" i="3"/>
  <c r="J153" i="3"/>
  <c r="AI152" i="3"/>
  <c r="AH152" i="3"/>
  <c r="AG152" i="3"/>
  <c r="AF152" i="3"/>
  <c r="Y152" i="3"/>
  <c r="U152" i="3"/>
  <c r="R152" i="3"/>
  <c r="N152" i="3"/>
  <c r="AI151" i="3"/>
  <c r="AH151" i="3"/>
  <c r="AG151" i="3"/>
  <c r="AF151" i="3"/>
  <c r="Y151" i="3"/>
  <c r="U151" i="3"/>
  <c r="R151" i="3"/>
  <c r="N151" i="3"/>
  <c r="AI150" i="3"/>
  <c r="AH150" i="3"/>
  <c r="AG150" i="3"/>
  <c r="AF150" i="3"/>
  <c r="Y150" i="3"/>
  <c r="U150" i="3"/>
  <c r="R150" i="3"/>
  <c r="N150" i="3"/>
  <c r="AI149" i="3"/>
  <c r="AH149" i="3"/>
  <c r="AG149" i="3"/>
  <c r="AF149" i="3"/>
  <c r="Y149" i="3"/>
  <c r="U149" i="3"/>
  <c r="R149" i="3"/>
  <c r="N149" i="3"/>
  <c r="AI148" i="3"/>
  <c r="AH148" i="3"/>
  <c r="AG148" i="3"/>
  <c r="AF148" i="3"/>
  <c r="Y148" i="3"/>
  <c r="U148" i="3"/>
  <c r="R148" i="3"/>
  <c r="N148" i="3"/>
  <c r="AI147" i="3"/>
  <c r="AH147" i="3"/>
  <c r="AG147" i="3"/>
  <c r="AF147" i="3"/>
  <c r="Y147" i="3"/>
  <c r="U147" i="3"/>
  <c r="R147" i="3"/>
  <c r="N147" i="3"/>
  <c r="AI146" i="3"/>
  <c r="AH146" i="3"/>
  <c r="AG146" i="3"/>
  <c r="AG145" i="3" s="1"/>
  <c r="AF146" i="3"/>
  <c r="Y146" i="3"/>
  <c r="U146" i="3"/>
  <c r="R146" i="3"/>
  <c r="N146" i="3"/>
  <c r="AC145" i="3"/>
  <c r="AB145" i="3"/>
  <c r="AA145" i="3"/>
  <c r="Z145" i="3"/>
  <c r="X145" i="3"/>
  <c r="W145" i="3"/>
  <c r="V145" i="3"/>
  <c r="T145" i="3"/>
  <c r="S145" i="3"/>
  <c r="Q145" i="3"/>
  <c r="P145" i="3"/>
  <c r="O145" i="3"/>
  <c r="M145" i="3"/>
  <c r="AI145" i="3" s="1"/>
  <c r="L145" i="3"/>
  <c r="K145" i="3"/>
  <c r="J145" i="3"/>
  <c r="AI144" i="3"/>
  <c r="AB144" i="3"/>
  <c r="Y144" i="3"/>
  <c r="U144" i="3"/>
  <c r="R144" i="3"/>
  <c r="N144" i="3"/>
  <c r="AI143" i="3"/>
  <c r="AB143" i="3"/>
  <c r="Y143" i="3"/>
  <c r="U143" i="3"/>
  <c r="R143" i="3"/>
  <c r="N143" i="3"/>
  <c r="AI142" i="3"/>
  <c r="AH142" i="3"/>
  <c r="Y142" i="3"/>
  <c r="U142" i="3"/>
  <c r="R142" i="3"/>
  <c r="N142" i="3"/>
  <c r="AI141" i="3"/>
  <c r="AH141" i="3"/>
  <c r="AG141" i="3"/>
  <c r="AF141" i="3"/>
  <c r="Y141" i="3"/>
  <c r="U141" i="3"/>
  <c r="R141" i="3"/>
  <c r="N141" i="3"/>
  <c r="AI140" i="3"/>
  <c r="AH140" i="3"/>
  <c r="AG140" i="3"/>
  <c r="AF140" i="3"/>
  <c r="Y140" i="3"/>
  <c r="U140" i="3"/>
  <c r="R140" i="3"/>
  <c r="N140" i="3"/>
  <c r="AI139" i="3"/>
  <c r="AH139" i="3"/>
  <c r="AG139" i="3"/>
  <c r="AF139" i="3"/>
  <c r="Y139" i="3"/>
  <c r="U139" i="3"/>
  <c r="R139" i="3"/>
  <c r="N139" i="3"/>
  <c r="AI138" i="3"/>
  <c r="AH138" i="3"/>
  <c r="AG138" i="3"/>
  <c r="AF138" i="3"/>
  <c r="Y138" i="3"/>
  <c r="U138" i="3"/>
  <c r="R138" i="3"/>
  <c r="N138" i="3"/>
  <c r="Y137" i="3"/>
  <c r="U137" i="3"/>
  <c r="R137" i="3"/>
  <c r="N137" i="3"/>
  <c r="AC136" i="3"/>
  <c r="AB136" i="3"/>
  <c r="AA136" i="3"/>
  <c r="Z136" i="3"/>
  <c r="X136" i="3"/>
  <c r="W136" i="3"/>
  <c r="V136" i="3"/>
  <c r="T136" i="3"/>
  <c r="S136" i="3"/>
  <c r="Q136" i="3"/>
  <c r="P136" i="3"/>
  <c r="O136" i="3"/>
  <c r="M136" i="3"/>
  <c r="AI136" i="3" s="1"/>
  <c r="AI135" i="3"/>
  <c r="AH135" i="3"/>
  <c r="AG135" i="3"/>
  <c r="AF135" i="3"/>
  <c r="Y135" i="3"/>
  <c r="U135" i="3"/>
  <c r="R135" i="3"/>
  <c r="N135" i="3"/>
  <c r="AI134" i="3"/>
  <c r="AH134" i="3"/>
  <c r="AG134" i="3"/>
  <c r="AF134" i="3"/>
  <c r="Y134" i="3"/>
  <c r="U134" i="3"/>
  <c r="R134" i="3"/>
  <c r="N134" i="3"/>
  <c r="AI133" i="3"/>
  <c r="AH133" i="3"/>
  <c r="AG133" i="3"/>
  <c r="AF133" i="3"/>
  <c r="Y133" i="3"/>
  <c r="N133" i="3"/>
  <c r="AI132" i="3"/>
  <c r="AH132" i="3"/>
  <c r="AG132" i="3"/>
  <c r="AF132" i="3"/>
  <c r="Y132" i="3"/>
  <c r="N132" i="3"/>
  <c r="AC131" i="3"/>
  <c r="AB131" i="3"/>
  <c r="AA131" i="3"/>
  <c r="Z131" i="3"/>
  <c r="X131" i="3"/>
  <c r="W131" i="3"/>
  <c r="V131" i="3"/>
  <c r="T131" i="3"/>
  <c r="S131" i="3"/>
  <c r="Q131" i="3"/>
  <c r="P131" i="3"/>
  <c r="O131" i="3"/>
  <c r="M131" i="3"/>
  <c r="AI131" i="3" s="1"/>
  <c r="L131" i="3"/>
  <c r="K131" i="3"/>
  <c r="J131" i="3"/>
  <c r="AI130" i="3"/>
  <c r="AH130" i="3"/>
  <c r="AG130" i="3"/>
  <c r="AF130" i="3"/>
  <c r="Y130" i="3"/>
  <c r="U130" i="3"/>
  <c r="R130" i="3"/>
  <c r="N130" i="3"/>
  <c r="AI129" i="3"/>
  <c r="AH129" i="3"/>
  <c r="AG129" i="3"/>
  <c r="AF129" i="3"/>
  <c r="Y129" i="3"/>
  <c r="U129" i="3"/>
  <c r="R129" i="3"/>
  <c r="N129" i="3"/>
  <c r="AI128" i="3"/>
  <c r="AH128" i="3"/>
  <c r="AG128" i="3"/>
  <c r="AF128" i="3"/>
  <c r="N128" i="3"/>
  <c r="H128" i="3" s="1"/>
  <c r="AC127" i="3"/>
  <c r="AB127" i="3"/>
  <c r="AA127" i="3"/>
  <c r="Z127" i="3"/>
  <c r="X127" i="3"/>
  <c r="W127" i="3"/>
  <c r="V127" i="3"/>
  <c r="T127" i="3"/>
  <c r="S127" i="3"/>
  <c r="Q127" i="3"/>
  <c r="P127" i="3"/>
  <c r="O127" i="3"/>
  <c r="M127" i="3"/>
  <c r="AI127" i="3" s="1"/>
  <c r="L127" i="3"/>
  <c r="K127" i="3"/>
  <c r="J127" i="3"/>
  <c r="AI126" i="3"/>
  <c r="AH126" i="3"/>
  <c r="AG126" i="3"/>
  <c r="AF126" i="3"/>
  <c r="Y126" i="3"/>
  <c r="U126" i="3"/>
  <c r="R126" i="3"/>
  <c r="N126" i="3"/>
  <c r="AI125" i="3"/>
  <c r="AH125" i="3"/>
  <c r="AG125" i="3"/>
  <c r="AG124" i="3" s="1"/>
  <c r="AF125" i="3"/>
  <c r="Y125" i="3"/>
  <c r="U125" i="3"/>
  <c r="R125" i="3"/>
  <c r="N125" i="3"/>
  <c r="AC124" i="3"/>
  <c r="AB124" i="3"/>
  <c r="AA124" i="3"/>
  <c r="Z124" i="3"/>
  <c r="X124" i="3"/>
  <c r="W124" i="3"/>
  <c r="V124" i="3"/>
  <c r="T124" i="3"/>
  <c r="S124" i="3"/>
  <c r="Q124" i="3"/>
  <c r="P124" i="3"/>
  <c r="O124" i="3"/>
  <c r="M124" i="3"/>
  <c r="AI124" i="3" s="1"/>
  <c r="AI123" i="3"/>
  <c r="AG123" i="3"/>
  <c r="AG118" i="3" s="1"/>
  <c r="AF123" i="3"/>
  <c r="AF118" i="3" s="1"/>
  <c r="Y123" i="3"/>
  <c r="U123" i="3"/>
  <c r="R123" i="3"/>
  <c r="N123" i="3"/>
  <c r="AI122" i="3"/>
  <c r="U122" i="3"/>
  <c r="N122" i="3"/>
  <c r="AI121" i="3"/>
  <c r="Y121" i="3"/>
  <c r="U121" i="3"/>
  <c r="R121" i="3"/>
  <c r="N121" i="3"/>
  <c r="AI120" i="3"/>
  <c r="AI119" i="3"/>
  <c r="Y119" i="3"/>
  <c r="U119" i="3"/>
  <c r="R119" i="3"/>
  <c r="N119" i="3"/>
  <c r="AC118" i="3"/>
  <c r="AB118" i="3"/>
  <c r="AA118" i="3"/>
  <c r="Z118" i="3"/>
  <c r="X118" i="3"/>
  <c r="W118" i="3"/>
  <c r="V118" i="3"/>
  <c r="T118" i="3"/>
  <c r="S118" i="3"/>
  <c r="Q118" i="3"/>
  <c r="P118" i="3"/>
  <c r="O118" i="3"/>
  <c r="M118" i="3"/>
  <c r="AI118" i="3" s="1"/>
  <c r="AI117" i="3"/>
  <c r="AH117" i="3"/>
  <c r="AG117" i="3"/>
  <c r="AF117" i="3"/>
  <c r="AE117" i="3"/>
  <c r="Y117" i="3"/>
  <c r="U117" i="3"/>
  <c r="R117" i="3"/>
  <c r="N117" i="3"/>
  <c r="AI116" i="3"/>
  <c r="AH116" i="3"/>
  <c r="AG116" i="3"/>
  <c r="AF116" i="3"/>
  <c r="Y116" i="3"/>
  <c r="U116" i="3"/>
  <c r="R116" i="3"/>
  <c r="N116" i="3"/>
  <c r="AI115" i="3"/>
  <c r="AH115" i="3"/>
  <c r="AG115" i="3"/>
  <c r="AF115" i="3"/>
  <c r="Y115" i="3"/>
  <c r="U115" i="3"/>
  <c r="R115" i="3"/>
  <c r="N115" i="3"/>
  <c r="AI114" i="3"/>
  <c r="AH114" i="3"/>
  <c r="AG114" i="3"/>
  <c r="AF114" i="3"/>
  <c r="Y114" i="3"/>
  <c r="U114" i="3"/>
  <c r="R114" i="3"/>
  <c r="N114" i="3"/>
  <c r="AI113" i="3"/>
  <c r="AH113" i="3"/>
  <c r="AG113" i="3"/>
  <c r="AF113" i="3"/>
  <c r="Y113" i="3"/>
  <c r="U113" i="3"/>
  <c r="R113" i="3"/>
  <c r="N113" i="3"/>
  <c r="AI112" i="3"/>
  <c r="AH112" i="3"/>
  <c r="AG112" i="3"/>
  <c r="AF112" i="3"/>
  <c r="Y112" i="3"/>
  <c r="U112" i="3"/>
  <c r="R112" i="3"/>
  <c r="N112" i="3"/>
  <c r="AC111" i="3"/>
  <c r="AB111" i="3"/>
  <c r="AA111" i="3"/>
  <c r="Z111" i="3"/>
  <c r="X111" i="3"/>
  <c r="W111" i="3"/>
  <c r="V111" i="3"/>
  <c r="T111" i="3"/>
  <c r="S111" i="3"/>
  <c r="Q111" i="3"/>
  <c r="P111" i="3"/>
  <c r="O111" i="3"/>
  <c r="M111" i="3"/>
  <c r="AI111" i="3" s="1"/>
  <c r="L111" i="3"/>
  <c r="K111" i="3"/>
  <c r="J111" i="3"/>
  <c r="AI110" i="3"/>
  <c r="AH110" i="3"/>
  <c r="AG110" i="3"/>
  <c r="AF110" i="3"/>
  <c r="Y110" i="3"/>
  <c r="U110" i="3"/>
  <c r="R110" i="3"/>
  <c r="N110" i="3"/>
  <c r="AI109" i="3"/>
  <c r="AH109" i="3"/>
  <c r="AG109" i="3"/>
  <c r="AF109" i="3"/>
  <c r="Y109" i="3"/>
  <c r="U109" i="3"/>
  <c r="R109" i="3"/>
  <c r="N109" i="3"/>
  <c r="AI108" i="3"/>
  <c r="AH108" i="3"/>
  <c r="AG108" i="3"/>
  <c r="AF108" i="3"/>
  <c r="Y108" i="3"/>
  <c r="U108" i="3"/>
  <c r="R108" i="3"/>
  <c r="N108" i="3"/>
  <c r="AC107" i="3"/>
  <c r="AB107" i="3"/>
  <c r="AA107" i="3"/>
  <c r="Z107" i="3"/>
  <c r="X107" i="3"/>
  <c r="W107" i="3"/>
  <c r="V107" i="3"/>
  <c r="T107" i="3"/>
  <c r="S107" i="3"/>
  <c r="Q107" i="3"/>
  <c r="P107" i="3"/>
  <c r="O107" i="3"/>
  <c r="M107" i="3"/>
  <c r="AI107" i="3" s="1"/>
  <c r="L107" i="3"/>
  <c r="K107" i="3"/>
  <c r="J107" i="3"/>
  <c r="AI106" i="3"/>
  <c r="AH106" i="3"/>
  <c r="AG106" i="3"/>
  <c r="AF106" i="3"/>
  <c r="Y106" i="3"/>
  <c r="U106" i="3"/>
  <c r="R106" i="3"/>
  <c r="N106" i="3"/>
  <c r="AI105" i="3"/>
  <c r="AH105" i="3"/>
  <c r="AG105" i="3"/>
  <c r="AF105" i="3"/>
  <c r="Y105" i="3"/>
  <c r="U105" i="3"/>
  <c r="R105" i="3"/>
  <c r="N105" i="3"/>
  <c r="AI104" i="3"/>
  <c r="AH104" i="3"/>
  <c r="AG104" i="3"/>
  <c r="AF104" i="3"/>
  <c r="Y104" i="3"/>
  <c r="U104" i="3"/>
  <c r="R104" i="3"/>
  <c r="N104" i="3"/>
  <c r="AI103" i="3"/>
  <c r="AH103" i="3"/>
  <c r="AG103" i="3"/>
  <c r="AF103" i="3"/>
  <c r="Y103" i="3"/>
  <c r="U103" i="3"/>
  <c r="R103" i="3"/>
  <c r="N103" i="3"/>
  <c r="AI102" i="3"/>
  <c r="AH102" i="3"/>
  <c r="AG102" i="3"/>
  <c r="AF102" i="3"/>
  <c r="Y102" i="3"/>
  <c r="U102" i="3"/>
  <c r="R102" i="3"/>
  <c r="N102" i="3"/>
  <c r="AC101" i="3"/>
  <c r="AB101" i="3"/>
  <c r="AA101" i="3"/>
  <c r="Z101" i="3"/>
  <c r="X101" i="3"/>
  <c r="W101" i="3"/>
  <c r="V101" i="3"/>
  <c r="T101" i="3"/>
  <c r="S101" i="3"/>
  <c r="Q101" i="3"/>
  <c r="P101" i="3"/>
  <c r="O101" i="3"/>
  <c r="M101" i="3"/>
  <c r="AI101" i="3" s="1"/>
  <c r="L101" i="3"/>
  <c r="K101" i="3"/>
  <c r="J101" i="3"/>
  <c r="I101" i="3"/>
  <c r="AI99" i="3"/>
  <c r="AH99" i="3"/>
  <c r="AG99" i="3"/>
  <c r="AF99" i="3"/>
  <c r="Y99" i="3"/>
  <c r="U99" i="3"/>
  <c r="R99" i="3"/>
  <c r="N99" i="3"/>
  <c r="AI98" i="3"/>
  <c r="AH98" i="3"/>
  <c r="AG98" i="3"/>
  <c r="AF98" i="3"/>
  <c r="Y98" i="3"/>
  <c r="U98" i="3"/>
  <c r="R98" i="3"/>
  <c r="N98" i="3"/>
  <c r="AI97" i="3"/>
  <c r="AH97" i="3"/>
  <c r="AG97" i="3"/>
  <c r="AF97" i="3"/>
  <c r="Y97" i="3"/>
  <c r="U97" i="3"/>
  <c r="R97" i="3"/>
  <c r="N97" i="3"/>
  <c r="AI96" i="3"/>
  <c r="AH96" i="3"/>
  <c r="AG96" i="3"/>
  <c r="AF96" i="3"/>
  <c r="Y96" i="3"/>
  <c r="U96" i="3"/>
  <c r="R96" i="3"/>
  <c r="N96" i="3"/>
  <c r="AI95" i="3"/>
  <c r="AH95" i="3"/>
  <c r="AG95" i="3"/>
  <c r="AF95" i="3"/>
  <c r="Y95" i="3"/>
  <c r="U95" i="3"/>
  <c r="R95" i="3"/>
  <c r="N95" i="3"/>
  <c r="AI94" i="3"/>
  <c r="AH94" i="3"/>
  <c r="AG94" i="3"/>
  <c r="AF94" i="3"/>
  <c r="Y94" i="3"/>
  <c r="U94" i="3"/>
  <c r="R94" i="3"/>
  <c r="N94" i="3"/>
  <c r="AI93" i="3"/>
  <c r="AH93" i="3"/>
  <c r="AG93" i="3"/>
  <c r="AF93" i="3"/>
  <c r="Y93" i="3"/>
  <c r="U93" i="3"/>
  <c r="R93" i="3"/>
  <c r="N93" i="3"/>
  <c r="AI92" i="3"/>
  <c r="AH92" i="3"/>
  <c r="AG92" i="3"/>
  <c r="AF92" i="3"/>
  <c r="Y92" i="3"/>
  <c r="U92" i="3"/>
  <c r="R92" i="3"/>
  <c r="N92" i="3"/>
  <c r="AC91" i="3"/>
  <c r="AB91" i="3"/>
  <c r="AA91" i="3"/>
  <c r="Z91" i="3"/>
  <c r="X91" i="3"/>
  <c r="W91" i="3"/>
  <c r="V91" i="3"/>
  <c r="T91" i="3"/>
  <c r="S91" i="3"/>
  <c r="Q91" i="3"/>
  <c r="P91" i="3"/>
  <c r="O91" i="3"/>
  <c r="M91" i="3"/>
  <c r="AI91" i="3" s="1"/>
  <c r="L91" i="3"/>
  <c r="K91" i="3"/>
  <c r="J91" i="3"/>
  <c r="AI90" i="3"/>
  <c r="AH90" i="3"/>
  <c r="AG90" i="3"/>
  <c r="AF90" i="3"/>
  <c r="Y90" i="3"/>
  <c r="U90" i="3"/>
  <c r="R90" i="3"/>
  <c r="N90" i="3"/>
  <c r="AI89" i="3"/>
  <c r="AH89" i="3"/>
  <c r="AG89" i="3"/>
  <c r="AF89" i="3"/>
  <c r="Y89" i="3"/>
  <c r="U89" i="3"/>
  <c r="R89" i="3"/>
  <c r="N89" i="3"/>
  <c r="AI88" i="3"/>
  <c r="AH88" i="3"/>
  <c r="AG88" i="3"/>
  <c r="AF88" i="3"/>
  <c r="Y88" i="3"/>
  <c r="U88" i="3"/>
  <c r="R88" i="3"/>
  <c r="N88" i="3"/>
  <c r="AI87" i="3"/>
  <c r="AH87" i="3"/>
  <c r="AG87" i="3"/>
  <c r="AF87" i="3"/>
  <c r="Y87" i="3"/>
  <c r="U87" i="3"/>
  <c r="R87" i="3"/>
  <c r="N87" i="3"/>
  <c r="AI86" i="3"/>
  <c r="AH86" i="3"/>
  <c r="AG86" i="3"/>
  <c r="AF86" i="3"/>
  <c r="Y86" i="3"/>
  <c r="U86" i="3"/>
  <c r="R86" i="3"/>
  <c r="N86" i="3"/>
  <c r="AI85" i="3"/>
  <c r="AH85" i="3"/>
  <c r="AG85" i="3"/>
  <c r="AF85" i="3"/>
  <c r="Y85" i="3"/>
  <c r="U85" i="3"/>
  <c r="R85" i="3"/>
  <c r="N85" i="3"/>
  <c r="AC84" i="3"/>
  <c r="AB84" i="3"/>
  <c r="AA84" i="3"/>
  <c r="Z84" i="3"/>
  <c r="X84" i="3"/>
  <c r="W84" i="3"/>
  <c r="V84" i="3"/>
  <c r="T84" i="3"/>
  <c r="S84" i="3"/>
  <c r="Q84" i="3"/>
  <c r="P84" i="3"/>
  <c r="O84" i="3"/>
  <c r="M84" i="3"/>
  <c r="AI84" i="3" s="1"/>
  <c r="L84" i="3"/>
  <c r="K84" i="3"/>
  <c r="J84" i="3"/>
  <c r="AI83" i="3"/>
  <c r="AH83" i="3"/>
  <c r="AG83" i="3"/>
  <c r="AF83" i="3"/>
  <c r="Y83" i="3"/>
  <c r="U83" i="3"/>
  <c r="R83" i="3"/>
  <c r="N83" i="3"/>
  <c r="AI82" i="3"/>
  <c r="AH82" i="3"/>
  <c r="AG82" i="3"/>
  <c r="AF82" i="3"/>
  <c r="Y82" i="3"/>
  <c r="U82" i="3"/>
  <c r="R82" i="3"/>
  <c r="N82" i="3"/>
  <c r="AI81" i="3"/>
  <c r="AH81" i="3"/>
  <c r="AG81" i="3"/>
  <c r="AF81" i="3"/>
  <c r="Y81" i="3"/>
  <c r="U81" i="3"/>
  <c r="R81" i="3"/>
  <c r="N81" i="3"/>
  <c r="AI80" i="3"/>
  <c r="AH80" i="3"/>
  <c r="AG80" i="3"/>
  <c r="AF80" i="3"/>
  <c r="Y80" i="3"/>
  <c r="U80" i="3"/>
  <c r="R80" i="3"/>
  <c r="N80" i="3"/>
  <c r="AI79" i="3"/>
  <c r="AH79" i="3"/>
  <c r="AG79" i="3"/>
  <c r="AF79" i="3"/>
  <c r="Y79" i="3"/>
  <c r="U79" i="3"/>
  <c r="R79" i="3"/>
  <c r="N79" i="3"/>
  <c r="AI78" i="3"/>
  <c r="AH78" i="3"/>
  <c r="AG78" i="3"/>
  <c r="AF78" i="3"/>
  <c r="Y78" i="3"/>
  <c r="U78" i="3"/>
  <c r="R78" i="3"/>
  <c r="N78" i="3"/>
  <c r="AI77" i="3"/>
  <c r="AH77" i="3"/>
  <c r="AG77" i="3"/>
  <c r="AF77" i="3"/>
  <c r="Y77" i="3"/>
  <c r="U77" i="3"/>
  <c r="R77" i="3"/>
  <c r="N77" i="3"/>
  <c r="AC76" i="3"/>
  <c r="AB76" i="3"/>
  <c r="AA76" i="3"/>
  <c r="Z76" i="3"/>
  <c r="X76" i="3"/>
  <c r="W76" i="3"/>
  <c r="V76" i="3"/>
  <c r="T76" i="3"/>
  <c r="S76" i="3"/>
  <c r="Q76" i="3"/>
  <c r="P76" i="3"/>
  <c r="O76" i="3"/>
  <c r="M76" i="3"/>
  <c r="AI76" i="3" s="1"/>
  <c r="L76" i="3"/>
  <c r="K76" i="3"/>
  <c r="J76" i="3"/>
  <c r="AI75" i="3"/>
  <c r="AH75" i="3"/>
  <c r="AG75" i="3"/>
  <c r="AF75" i="3"/>
  <c r="Y75" i="3"/>
  <c r="U75" i="3"/>
  <c r="R75" i="3"/>
  <c r="N75" i="3"/>
  <c r="AI74" i="3"/>
  <c r="AH74" i="3"/>
  <c r="AG74" i="3"/>
  <c r="AF74" i="3"/>
  <c r="Y74" i="3"/>
  <c r="U74" i="3"/>
  <c r="R74" i="3"/>
  <c r="N74" i="3"/>
  <c r="AI73" i="3"/>
  <c r="AH73" i="3"/>
  <c r="AG73" i="3"/>
  <c r="AF73" i="3"/>
  <c r="Y73" i="3"/>
  <c r="U73" i="3"/>
  <c r="R73" i="3"/>
  <c r="N73" i="3"/>
  <c r="AI72" i="3"/>
  <c r="AH72" i="3"/>
  <c r="AG72" i="3"/>
  <c r="AF72" i="3"/>
  <c r="Y72" i="3"/>
  <c r="U72" i="3"/>
  <c r="R72" i="3"/>
  <c r="N72" i="3"/>
  <c r="AI71" i="3"/>
  <c r="AH71" i="3"/>
  <c r="AG71" i="3"/>
  <c r="AF71" i="3"/>
  <c r="Y71" i="3"/>
  <c r="U71" i="3"/>
  <c r="R71" i="3"/>
  <c r="N71" i="3"/>
  <c r="AI70" i="3"/>
  <c r="AH70" i="3"/>
  <c r="AG70" i="3"/>
  <c r="AF70" i="3"/>
  <c r="Y70" i="3"/>
  <c r="U70" i="3"/>
  <c r="R70" i="3"/>
  <c r="N70" i="3"/>
  <c r="AC69" i="3"/>
  <c r="AB69" i="3"/>
  <c r="AA69" i="3"/>
  <c r="Z69" i="3"/>
  <c r="X69" i="3"/>
  <c r="W69" i="3"/>
  <c r="V69" i="3"/>
  <c r="T69" i="3"/>
  <c r="S69" i="3"/>
  <c r="Q69" i="3"/>
  <c r="P69" i="3"/>
  <c r="O69" i="3"/>
  <c r="M69" i="3"/>
  <c r="AI69" i="3" s="1"/>
  <c r="L69" i="3"/>
  <c r="K69" i="3"/>
  <c r="J69" i="3"/>
  <c r="H68" i="3"/>
  <c r="AM68" i="3" s="1"/>
  <c r="AI67" i="3"/>
  <c r="AH67" i="3"/>
  <c r="AG67" i="3"/>
  <c r="AF67" i="3"/>
  <c r="Y67" i="3"/>
  <c r="U67" i="3"/>
  <c r="R67" i="3"/>
  <c r="N67" i="3"/>
  <c r="AI66" i="3"/>
  <c r="AH66" i="3"/>
  <c r="AG66" i="3"/>
  <c r="AF66" i="3"/>
  <c r="Y66" i="3"/>
  <c r="U66" i="3"/>
  <c r="R66" i="3"/>
  <c r="N66" i="3"/>
  <c r="AI65" i="3"/>
  <c r="AH65" i="3"/>
  <c r="AG65" i="3"/>
  <c r="AF65" i="3"/>
  <c r="Y65" i="3"/>
  <c r="U65" i="3"/>
  <c r="R65" i="3"/>
  <c r="N65" i="3"/>
  <c r="AI64" i="3"/>
  <c r="AH64" i="3"/>
  <c r="AG64" i="3"/>
  <c r="AF64" i="3"/>
  <c r="Y64" i="3"/>
  <c r="U64" i="3"/>
  <c r="R64" i="3"/>
  <c r="N64" i="3"/>
  <c r="AC63" i="3"/>
  <c r="AB63" i="3"/>
  <c r="AA63" i="3"/>
  <c r="Z63" i="3"/>
  <c r="X63" i="3"/>
  <c r="W63" i="3"/>
  <c r="V63" i="3"/>
  <c r="T63" i="3"/>
  <c r="S63" i="3"/>
  <c r="Q63" i="3"/>
  <c r="P63" i="3"/>
  <c r="O63" i="3"/>
  <c r="M63" i="3"/>
  <c r="AI63" i="3" s="1"/>
  <c r="L63" i="3"/>
  <c r="K63" i="3"/>
  <c r="J63" i="3"/>
  <c r="AI62" i="3"/>
  <c r="AH62" i="3"/>
  <c r="AG62" i="3"/>
  <c r="AF62" i="3"/>
  <c r="Y62" i="3"/>
  <c r="U62" i="3"/>
  <c r="R62" i="3"/>
  <c r="N62" i="3"/>
  <c r="AI61" i="3"/>
  <c r="AH61" i="3"/>
  <c r="AG61" i="3"/>
  <c r="AF61" i="3"/>
  <c r="AE61" i="3"/>
  <c r="Y61" i="3"/>
  <c r="U61" i="3"/>
  <c r="R61" i="3"/>
  <c r="N61" i="3"/>
  <c r="AI60" i="3"/>
  <c r="AH60" i="3"/>
  <c r="AG60" i="3"/>
  <c r="AF60" i="3"/>
  <c r="Y60" i="3"/>
  <c r="U60" i="3"/>
  <c r="R60" i="3"/>
  <c r="N60" i="3"/>
  <c r="AI59" i="3"/>
  <c r="AH59" i="3"/>
  <c r="AG59" i="3"/>
  <c r="AF59" i="3"/>
  <c r="Y59" i="3"/>
  <c r="U59" i="3"/>
  <c r="R59" i="3"/>
  <c r="N59" i="3"/>
  <c r="AC58" i="3"/>
  <c r="AB58" i="3"/>
  <c r="AA58" i="3"/>
  <c r="Z58" i="3"/>
  <c r="X58" i="3"/>
  <c r="W58" i="3"/>
  <c r="V58" i="3"/>
  <c r="T58" i="3"/>
  <c r="S58" i="3"/>
  <c r="Q58" i="3"/>
  <c r="P58" i="3"/>
  <c r="O58" i="3"/>
  <c r="M58" i="3"/>
  <c r="AI58" i="3" s="1"/>
  <c r="L58" i="3"/>
  <c r="K58" i="3"/>
  <c r="J58" i="3"/>
  <c r="AI57" i="3"/>
  <c r="AH57" i="3"/>
  <c r="AG57" i="3"/>
  <c r="AF57" i="3"/>
  <c r="Y57" i="3"/>
  <c r="U57" i="3"/>
  <c r="R57" i="3"/>
  <c r="N57" i="3"/>
  <c r="AI56" i="3"/>
  <c r="AH56" i="3"/>
  <c r="AG56" i="3"/>
  <c r="AF56" i="3"/>
  <c r="Y56" i="3"/>
  <c r="U56" i="3"/>
  <c r="R56" i="3"/>
  <c r="N56" i="3"/>
  <c r="AI55" i="3"/>
  <c r="AH55" i="3"/>
  <c r="AG55" i="3"/>
  <c r="AF55" i="3"/>
  <c r="Y55" i="3"/>
  <c r="U55" i="3"/>
  <c r="R55" i="3"/>
  <c r="N55" i="3"/>
  <c r="AI54" i="3"/>
  <c r="AH54" i="3"/>
  <c r="AG54" i="3"/>
  <c r="AF54" i="3"/>
  <c r="Y54" i="3"/>
  <c r="U54" i="3"/>
  <c r="R54" i="3"/>
  <c r="N54" i="3"/>
  <c r="AI53" i="3"/>
  <c r="AH53" i="3"/>
  <c r="AG53" i="3"/>
  <c r="AF53" i="3"/>
  <c r="Y53" i="3"/>
  <c r="U53" i="3"/>
  <c r="R53" i="3"/>
  <c r="N53" i="3"/>
  <c r="AI52" i="3"/>
  <c r="AH52" i="3"/>
  <c r="AG52" i="3"/>
  <c r="AF52" i="3"/>
  <c r="Y52" i="3"/>
  <c r="U52" i="3"/>
  <c r="R52" i="3"/>
  <c r="N52" i="3"/>
  <c r="AC51" i="3"/>
  <c r="AB51" i="3"/>
  <c r="AA51" i="3"/>
  <c r="Z51" i="3"/>
  <c r="X51" i="3"/>
  <c r="W51" i="3"/>
  <c r="V51" i="3"/>
  <c r="T51" i="3"/>
  <c r="S51" i="3"/>
  <c r="Q51" i="3"/>
  <c r="P51" i="3"/>
  <c r="O51" i="3"/>
  <c r="M51" i="3"/>
  <c r="AI51" i="3" s="1"/>
  <c r="L51" i="3"/>
  <c r="K51" i="3"/>
  <c r="J51" i="3"/>
  <c r="AI50" i="3"/>
  <c r="AH50" i="3"/>
  <c r="AG50" i="3"/>
  <c r="AF50" i="3"/>
  <c r="Y50" i="3"/>
  <c r="U50" i="3"/>
  <c r="R50" i="3"/>
  <c r="N50" i="3"/>
  <c r="AI49" i="3"/>
  <c r="AH49" i="3"/>
  <c r="AG49" i="3"/>
  <c r="AF49" i="3"/>
  <c r="Y49" i="3"/>
  <c r="U49" i="3"/>
  <c r="R49" i="3"/>
  <c r="N49" i="3"/>
  <c r="AI48" i="3"/>
  <c r="AH48" i="3"/>
  <c r="AG48" i="3"/>
  <c r="AF48" i="3"/>
  <c r="Y48" i="3"/>
  <c r="U48" i="3"/>
  <c r="R48" i="3"/>
  <c r="N48" i="3"/>
  <c r="AI47" i="3"/>
  <c r="AH47" i="3"/>
  <c r="AG47" i="3"/>
  <c r="AF47" i="3"/>
  <c r="Y47" i="3"/>
  <c r="U47" i="3"/>
  <c r="R47" i="3"/>
  <c r="N47" i="3"/>
  <c r="AI46" i="3"/>
  <c r="AH46" i="3"/>
  <c r="AG46" i="3"/>
  <c r="AF46" i="3"/>
  <c r="Y46" i="3"/>
  <c r="U46" i="3"/>
  <c r="R46" i="3"/>
  <c r="N46" i="3"/>
  <c r="AI45" i="3"/>
  <c r="AH45" i="3"/>
  <c r="AG45" i="3"/>
  <c r="AF45" i="3"/>
  <c r="Y45" i="3"/>
  <c r="U45" i="3"/>
  <c r="R45" i="3"/>
  <c r="N45" i="3"/>
  <c r="AI44" i="3"/>
  <c r="AH44" i="3"/>
  <c r="AG44" i="3"/>
  <c r="AF44" i="3"/>
  <c r="Y44" i="3"/>
  <c r="U44" i="3"/>
  <c r="R44" i="3"/>
  <c r="N44" i="3"/>
  <c r="AI43" i="3"/>
  <c r="AH43" i="3"/>
  <c r="AG43" i="3"/>
  <c r="AF43" i="3"/>
  <c r="Y43" i="3"/>
  <c r="U43" i="3"/>
  <c r="R43" i="3"/>
  <c r="N43" i="3"/>
  <c r="AC42" i="3"/>
  <c r="AB42" i="3"/>
  <c r="AA42" i="3"/>
  <c r="Z42" i="3"/>
  <c r="X42" i="3"/>
  <c r="W42" i="3"/>
  <c r="V42" i="3"/>
  <c r="T42" i="3"/>
  <c r="S42" i="3"/>
  <c r="Q42" i="3"/>
  <c r="P42" i="3"/>
  <c r="O42" i="3"/>
  <c r="M42" i="3"/>
  <c r="AI42" i="3" s="1"/>
  <c r="L42" i="3"/>
  <c r="K42" i="3"/>
  <c r="J42" i="3"/>
  <c r="AI41" i="3"/>
  <c r="AH41" i="3"/>
  <c r="AG41" i="3"/>
  <c r="AF41" i="3"/>
  <c r="Y41" i="3"/>
  <c r="U41" i="3"/>
  <c r="R41" i="3"/>
  <c r="N41" i="3"/>
  <c r="AI40" i="3"/>
  <c r="AH40" i="3"/>
  <c r="AG40" i="3"/>
  <c r="AF40" i="3"/>
  <c r="Y40" i="3"/>
  <c r="U40" i="3"/>
  <c r="R40" i="3"/>
  <c r="N40" i="3"/>
  <c r="AI39" i="3"/>
  <c r="AH39" i="3"/>
  <c r="AG39" i="3"/>
  <c r="AF39" i="3"/>
  <c r="Y39" i="3"/>
  <c r="U39" i="3"/>
  <c r="R39" i="3"/>
  <c r="N39" i="3"/>
  <c r="AI38" i="3"/>
  <c r="AH38" i="3"/>
  <c r="AG38" i="3"/>
  <c r="AF38" i="3"/>
  <c r="Y38" i="3"/>
  <c r="U38" i="3"/>
  <c r="R38" i="3"/>
  <c r="N38" i="3"/>
  <c r="AI37" i="3"/>
  <c r="AH37" i="3"/>
  <c r="AG37" i="3"/>
  <c r="AF37" i="3"/>
  <c r="Y37" i="3"/>
  <c r="U37" i="3"/>
  <c r="R37" i="3"/>
  <c r="N37" i="3"/>
  <c r="AI36" i="3"/>
  <c r="AH36" i="3"/>
  <c r="AG36" i="3"/>
  <c r="AF36" i="3"/>
  <c r="Y36" i="3"/>
  <c r="U36" i="3"/>
  <c r="R36" i="3"/>
  <c r="N36" i="3"/>
  <c r="AI35" i="3"/>
  <c r="AH35" i="3"/>
  <c r="AG35" i="3"/>
  <c r="AF35" i="3"/>
  <c r="Y35" i="3"/>
  <c r="U35" i="3"/>
  <c r="R35" i="3"/>
  <c r="N35" i="3"/>
  <c r="AI34" i="3"/>
  <c r="AH34" i="3"/>
  <c r="AG34" i="3"/>
  <c r="AF34" i="3"/>
  <c r="Y34" i="3"/>
  <c r="U34" i="3"/>
  <c r="R34" i="3"/>
  <c r="N34" i="3"/>
  <c r="AC33" i="3"/>
  <c r="AB33" i="3"/>
  <c r="AA33" i="3"/>
  <c r="Z33" i="3"/>
  <c r="X33" i="3"/>
  <c r="W33" i="3"/>
  <c r="V33" i="3"/>
  <c r="T33" i="3"/>
  <c r="S33" i="3"/>
  <c r="Q33" i="3"/>
  <c r="P33" i="3"/>
  <c r="O33" i="3"/>
  <c r="M33" i="3"/>
  <c r="AI33" i="3" s="1"/>
  <c r="L33" i="3"/>
  <c r="K33" i="3"/>
  <c r="J33" i="3"/>
  <c r="AI32" i="3"/>
  <c r="AH32" i="3"/>
  <c r="AG32" i="3"/>
  <c r="AF32" i="3"/>
  <c r="Y32" i="3"/>
  <c r="U32" i="3"/>
  <c r="R32" i="3"/>
  <c r="N32" i="3"/>
  <c r="AI31" i="3"/>
  <c r="AH31" i="3"/>
  <c r="AG31" i="3"/>
  <c r="AF31" i="3"/>
  <c r="Y31" i="3"/>
  <c r="U31" i="3"/>
  <c r="R31" i="3"/>
  <c r="N31" i="3"/>
  <c r="AI30" i="3"/>
  <c r="AH30" i="3"/>
  <c r="AG30" i="3"/>
  <c r="AF30" i="3"/>
  <c r="Y30" i="3"/>
  <c r="U30" i="3"/>
  <c r="R30" i="3"/>
  <c r="N30" i="3"/>
  <c r="AC29" i="3"/>
  <c r="AB29" i="3"/>
  <c r="AA29" i="3"/>
  <c r="Z29" i="3"/>
  <c r="X29" i="3"/>
  <c r="W29" i="3"/>
  <c r="V29" i="3"/>
  <c r="T29" i="3"/>
  <c r="S29" i="3"/>
  <c r="Q29" i="3"/>
  <c r="P29" i="3"/>
  <c r="O29" i="3"/>
  <c r="M29" i="3"/>
  <c r="AI29" i="3" s="1"/>
  <c r="L29" i="3"/>
  <c r="K29" i="3"/>
  <c r="J29" i="3"/>
  <c r="AI28" i="3"/>
  <c r="AH28" i="3"/>
  <c r="AG28" i="3"/>
  <c r="AF28" i="3"/>
  <c r="Y28" i="3"/>
  <c r="U28" i="3"/>
  <c r="R28" i="3"/>
  <c r="N28" i="3"/>
  <c r="AI27" i="3"/>
  <c r="AH27" i="3"/>
  <c r="AG27" i="3"/>
  <c r="AF27" i="3"/>
  <c r="Y27" i="3"/>
  <c r="U27" i="3"/>
  <c r="R27" i="3"/>
  <c r="N27" i="3"/>
  <c r="AI26" i="3"/>
  <c r="AH26" i="3"/>
  <c r="AG26" i="3"/>
  <c r="AF26" i="3"/>
  <c r="Y26" i="3"/>
  <c r="U26" i="3"/>
  <c r="R26" i="3"/>
  <c r="N26" i="3"/>
  <c r="AI25" i="3"/>
  <c r="AH25" i="3"/>
  <c r="AG25" i="3"/>
  <c r="AF25" i="3"/>
  <c r="Y25" i="3"/>
  <c r="U25" i="3"/>
  <c r="R25" i="3"/>
  <c r="N25" i="3"/>
  <c r="AI24" i="3"/>
  <c r="AH24" i="3"/>
  <c r="AG24" i="3"/>
  <c r="AF24" i="3"/>
  <c r="Y24" i="3"/>
  <c r="U24" i="3"/>
  <c r="R24" i="3"/>
  <c r="N24" i="3"/>
  <c r="AI23" i="3"/>
  <c r="AH23" i="3"/>
  <c r="AG23" i="3"/>
  <c r="AF23" i="3"/>
  <c r="Y23" i="3"/>
  <c r="U23" i="3"/>
  <c r="R23" i="3"/>
  <c r="N23" i="3"/>
  <c r="AI22" i="3"/>
  <c r="AH22" i="3"/>
  <c r="AG22" i="3"/>
  <c r="AF22" i="3"/>
  <c r="Y22" i="3"/>
  <c r="U22" i="3"/>
  <c r="R22" i="3"/>
  <c r="N22" i="3"/>
  <c r="AI21" i="3"/>
  <c r="AH21" i="3"/>
  <c r="AG21" i="3"/>
  <c r="AF21" i="3"/>
  <c r="Y21" i="3"/>
  <c r="U21" i="3"/>
  <c r="R21" i="3"/>
  <c r="N21" i="3"/>
  <c r="AI20" i="3"/>
  <c r="AH20" i="3"/>
  <c r="AG20" i="3"/>
  <c r="AF20" i="3"/>
  <c r="AE20" i="3"/>
  <c r="AC19" i="3"/>
  <c r="AB19" i="3"/>
  <c r="AA19" i="3"/>
  <c r="Z19" i="3"/>
  <c r="X19" i="3"/>
  <c r="W19" i="3"/>
  <c r="V19" i="3"/>
  <c r="T19" i="3"/>
  <c r="S19" i="3"/>
  <c r="Q19" i="3"/>
  <c r="P19" i="3"/>
  <c r="O19" i="3"/>
  <c r="M19" i="3"/>
  <c r="AI19" i="3" s="1"/>
  <c r="L19" i="3"/>
  <c r="K19" i="3"/>
  <c r="AI18" i="3"/>
  <c r="AH18" i="3"/>
  <c r="AG18" i="3"/>
  <c r="AF18" i="3"/>
  <c r="Y18" i="3"/>
  <c r="U18" i="3"/>
  <c r="R18" i="3"/>
  <c r="N18" i="3"/>
  <c r="AI17" i="3"/>
  <c r="AH17" i="3"/>
  <c r="AG17" i="3"/>
  <c r="AF17" i="3"/>
  <c r="Y17" i="3"/>
  <c r="U17" i="3"/>
  <c r="R17" i="3"/>
  <c r="N17" i="3"/>
  <c r="AI16" i="3"/>
  <c r="AH16" i="3"/>
  <c r="AG16" i="3"/>
  <c r="AF16" i="3"/>
  <c r="Y16" i="3"/>
  <c r="U16" i="3"/>
  <c r="R16" i="3"/>
  <c r="N16" i="3"/>
  <c r="AI15" i="3"/>
  <c r="AH15" i="3"/>
  <c r="AG15" i="3"/>
  <c r="AF15" i="3"/>
  <c r="Y15" i="3"/>
  <c r="U15" i="3"/>
  <c r="R15" i="3"/>
  <c r="N15" i="3"/>
  <c r="AI14" i="3"/>
  <c r="AH14" i="3"/>
  <c r="AG14" i="3"/>
  <c r="AF14" i="3"/>
  <c r="Y14" i="3"/>
  <c r="U14" i="3"/>
  <c r="R14" i="3"/>
  <c r="N14" i="3"/>
  <c r="AI13" i="3"/>
  <c r="AH13" i="3"/>
  <c r="AG13" i="3"/>
  <c r="AF13" i="3"/>
  <c r="Y13" i="3"/>
  <c r="U13" i="3"/>
  <c r="R13" i="3"/>
  <c r="N13" i="3"/>
  <c r="AI12" i="3"/>
  <c r="AH12" i="3"/>
  <c r="AG12" i="3"/>
  <c r="AF12" i="3"/>
  <c r="Y12" i="3"/>
  <c r="U12" i="3"/>
  <c r="R12" i="3"/>
  <c r="N12" i="3"/>
  <c r="AI11" i="3"/>
  <c r="AH11" i="3"/>
  <c r="AG11" i="3"/>
  <c r="AF11" i="3"/>
  <c r="Y11" i="3"/>
  <c r="U11" i="3"/>
  <c r="R11" i="3"/>
  <c r="N11" i="3"/>
  <c r="AC10" i="3"/>
  <c r="AB10" i="3"/>
  <c r="AA10" i="3"/>
  <c r="Z10" i="3"/>
  <c r="X10" i="3"/>
  <c r="W10" i="3"/>
  <c r="V10" i="3"/>
  <c r="T10" i="3"/>
  <c r="S10" i="3"/>
  <c r="Q10" i="3"/>
  <c r="P10" i="3"/>
  <c r="O10" i="3"/>
  <c r="M10" i="3"/>
  <c r="AI10" i="3" s="1"/>
  <c r="L10" i="3"/>
  <c r="K10" i="3"/>
  <c r="J10" i="3"/>
  <c r="Y9" i="3"/>
  <c r="U9" i="3"/>
  <c r="R9" i="3"/>
  <c r="N9" i="3"/>
  <c r="Y8" i="3"/>
  <c r="U8" i="3"/>
  <c r="R8" i="3"/>
  <c r="N8" i="3"/>
  <c r="Y7" i="3"/>
  <c r="U7" i="3"/>
  <c r="R7" i="3"/>
  <c r="N7" i="3"/>
  <c r="Y6" i="3"/>
  <c r="U6" i="3"/>
  <c r="R6" i="3"/>
  <c r="N6" i="3"/>
  <c r="Y5" i="3"/>
  <c r="U5" i="3"/>
  <c r="R5" i="3"/>
  <c r="N5" i="3"/>
  <c r="Y4" i="3"/>
  <c r="U4" i="3"/>
  <c r="R4" i="3"/>
  <c r="N4" i="3"/>
  <c r="AC3" i="3"/>
  <c r="AB3" i="3"/>
  <c r="AA3" i="3"/>
  <c r="Z3" i="3"/>
  <c r="X3" i="3"/>
  <c r="W3" i="3"/>
  <c r="V3" i="3"/>
  <c r="T3" i="3"/>
  <c r="S3" i="3"/>
  <c r="Q3" i="3"/>
  <c r="P3" i="3"/>
  <c r="O3" i="3"/>
  <c r="M3" i="3"/>
  <c r="AE128" i="3" l="1"/>
  <c r="AM128" i="3"/>
  <c r="AH124" i="3"/>
  <c r="AH145" i="3"/>
  <c r="AG84" i="3"/>
  <c r="AF107" i="3"/>
  <c r="AF111" i="3"/>
  <c r="AH84" i="3"/>
  <c r="AG107" i="3"/>
  <c r="AF91" i="3"/>
  <c r="AH101" i="3"/>
  <c r="AH127" i="3"/>
  <c r="AG111" i="3"/>
  <c r="AH107" i="3"/>
  <c r="AH111" i="3"/>
  <c r="AG91" i="3"/>
  <c r="AF101" i="3"/>
  <c r="AH91" i="3"/>
  <c r="AG101" i="3"/>
  <c r="AH131" i="3"/>
  <c r="AF136" i="3"/>
  <c r="AH153" i="3"/>
  <c r="AG136" i="3"/>
  <c r="AH136" i="3"/>
  <c r="AF124" i="3"/>
  <c r="AF145" i="3"/>
  <c r="AF76" i="3"/>
  <c r="AH76" i="3"/>
  <c r="AG76" i="3"/>
  <c r="P62" i="13"/>
  <c r="N62" i="13"/>
  <c r="AG159" i="3"/>
  <c r="AE160" i="3"/>
  <c r="AH19" i="3"/>
  <c r="AH29" i="3"/>
  <c r="AG10" i="3"/>
  <c r="AG19" i="3"/>
  <c r="AF10" i="3"/>
  <c r="AF33" i="3"/>
  <c r="AG33" i="3"/>
  <c r="AH10" i="3"/>
  <c r="AH33" i="3"/>
  <c r="AF29" i="3"/>
  <c r="H59" i="3"/>
  <c r="AG29" i="3"/>
  <c r="AF19" i="3"/>
  <c r="O62" i="13"/>
  <c r="L62" i="13"/>
  <c r="R127" i="3"/>
  <c r="AC143" i="3"/>
  <c r="AE55" i="3"/>
  <c r="Y131" i="3"/>
  <c r="AE4" i="3"/>
  <c r="H72" i="3"/>
  <c r="H109" i="3"/>
  <c r="AG153" i="3"/>
  <c r="R124" i="3"/>
  <c r="H122" i="3"/>
  <c r="Y145" i="3"/>
  <c r="H149" i="3"/>
  <c r="AH51" i="3"/>
  <c r="U124" i="3"/>
  <c r="H48" i="3"/>
  <c r="U131" i="3"/>
  <c r="U29" i="3"/>
  <c r="AE12" i="3"/>
  <c r="N111" i="3"/>
  <c r="AG42" i="3"/>
  <c r="R42" i="3"/>
  <c r="H73" i="3"/>
  <c r="H132" i="3"/>
  <c r="AE16" i="3"/>
  <c r="AE123" i="3"/>
  <c r="H140" i="3"/>
  <c r="R91" i="3"/>
  <c r="AE103" i="3"/>
  <c r="U145" i="3"/>
  <c r="AE30" i="3"/>
  <c r="AF42" i="3"/>
  <c r="AH63" i="3"/>
  <c r="H106" i="3"/>
  <c r="AM106" i="3" s="1"/>
  <c r="R29" i="3"/>
  <c r="N58" i="3"/>
  <c r="H94" i="3"/>
  <c r="U136" i="3"/>
  <c r="Y19" i="3"/>
  <c r="H134" i="3"/>
  <c r="N107" i="3"/>
  <c r="H22" i="3"/>
  <c r="U10" i="3"/>
  <c r="R153" i="3"/>
  <c r="H62" i="3"/>
  <c r="Y118" i="3"/>
  <c r="AC144" i="3"/>
  <c r="AE13" i="3"/>
  <c r="AE44" i="3"/>
  <c r="H138" i="3"/>
  <c r="U91" i="3"/>
  <c r="R118" i="3"/>
  <c r="Y124" i="3"/>
  <c r="AG58" i="3"/>
  <c r="AH69" i="3"/>
  <c r="AE102" i="3"/>
  <c r="U107" i="3"/>
  <c r="R131" i="3"/>
  <c r="AE141" i="3"/>
  <c r="N145" i="3"/>
  <c r="H28" i="3"/>
  <c r="H71" i="3"/>
  <c r="U111" i="3"/>
  <c r="Y76" i="3"/>
  <c r="Y84" i="3"/>
  <c r="AE80" i="3"/>
  <c r="Y101" i="3"/>
  <c r="AE126" i="3"/>
  <c r="AE152" i="3"/>
  <c r="AI161" i="3"/>
  <c r="AE50" i="3"/>
  <c r="N63" i="3"/>
  <c r="AE105" i="3"/>
  <c r="AE115" i="3"/>
  <c r="Y127" i="3"/>
  <c r="H139" i="3"/>
  <c r="H87" i="3"/>
  <c r="H96" i="3"/>
  <c r="U118" i="3"/>
  <c r="H150" i="3"/>
  <c r="Y29" i="3"/>
  <c r="N51" i="3"/>
  <c r="AG63" i="3"/>
  <c r="AE67" i="3"/>
  <c r="AE78" i="3"/>
  <c r="AF127" i="3"/>
  <c r="N153" i="3"/>
  <c r="U42" i="3"/>
  <c r="R51" i="3"/>
  <c r="AG127" i="3"/>
  <c r="Y42" i="3"/>
  <c r="H85" i="3"/>
  <c r="U153" i="3"/>
  <c r="R3" i="3"/>
  <c r="AE15" i="3"/>
  <c r="H133" i="3"/>
  <c r="R136" i="3"/>
  <c r="AF153" i="3"/>
  <c r="AH42" i="3"/>
  <c r="AG51" i="3"/>
  <c r="H75" i="3"/>
  <c r="R101" i="3"/>
  <c r="H110" i="3"/>
  <c r="H65" i="3"/>
  <c r="H88" i="3"/>
  <c r="H92" i="3"/>
  <c r="H114" i="3"/>
  <c r="N124" i="3"/>
  <c r="U127" i="3"/>
  <c r="H151" i="3"/>
  <c r="H89" i="3"/>
  <c r="U69" i="3"/>
  <c r="Y69" i="3"/>
  <c r="AF69" i="3"/>
  <c r="N69" i="3"/>
  <c r="U63" i="3"/>
  <c r="Y63" i="3"/>
  <c r="U58" i="3"/>
  <c r="Y58" i="3"/>
  <c r="H60" i="3"/>
  <c r="Y51" i="3"/>
  <c r="AE46" i="3"/>
  <c r="R33" i="3"/>
  <c r="Y33" i="3"/>
  <c r="H24" i="3"/>
  <c r="H26" i="3"/>
  <c r="N10" i="3"/>
  <c r="AE8" i="3"/>
  <c r="AE6" i="3"/>
  <c r="N3" i="3"/>
  <c r="Y3" i="3"/>
  <c r="R19" i="3"/>
  <c r="AF63" i="3"/>
  <c r="AE82" i="3"/>
  <c r="Y91" i="3"/>
  <c r="H98" i="3"/>
  <c r="Y111" i="3"/>
  <c r="AE116" i="3"/>
  <c r="N131" i="3"/>
  <c r="H137" i="3"/>
  <c r="AM137" i="3" s="1"/>
  <c r="AE146" i="3"/>
  <c r="H147" i="3"/>
  <c r="H21" i="3"/>
  <c r="H23" i="3"/>
  <c r="H25" i="3"/>
  <c r="H27" i="3"/>
  <c r="AE45" i="3"/>
  <c r="AE47" i="3"/>
  <c r="AE49" i="3"/>
  <c r="U101" i="3"/>
  <c r="AE104" i="3"/>
  <c r="R145" i="3"/>
  <c r="Y153" i="3"/>
  <c r="AE17" i="3"/>
  <c r="H32" i="3"/>
  <c r="AE54" i="3"/>
  <c r="R69" i="3"/>
  <c r="R84" i="3"/>
  <c r="AF131" i="3"/>
  <c r="N136" i="3"/>
  <c r="AE14" i="3"/>
  <c r="AE56" i="3"/>
  <c r="R58" i="3"/>
  <c r="AF58" i="3"/>
  <c r="H86" i="3"/>
  <c r="R107" i="3"/>
  <c r="AG131" i="3"/>
  <c r="AE18" i="3"/>
  <c r="H31" i="3"/>
  <c r="AE34" i="3"/>
  <c r="AE36" i="3"/>
  <c r="H38" i="3"/>
  <c r="AE40" i="3"/>
  <c r="H53" i="3"/>
  <c r="H74" i="3"/>
  <c r="H90" i="3"/>
  <c r="H129" i="3"/>
  <c r="H130" i="3"/>
  <c r="Y136" i="3"/>
  <c r="N19" i="3"/>
  <c r="AE5" i="3"/>
  <c r="AE7" i="3"/>
  <c r="H57" i="3"/>
  <c r="AH58" i="3"/>
  <c r="AE64" i="3"/>
  <c r="H66" i="3"/>
  <c r="AE77" i="3"/>
  <c r="AE79" i="3"/>
  <c r="AF84" i="3"/>
  <c r="H93" i="3"/>
  <c r="H95" i="3"/>
  <c r="Y107" i="3"/>
  <c r="H113" i="3"/>
  <c r="N127" i="3"/>
  <c r="U3" i="3"/>
  <c r="AE9" i="3"/>
  <c r="AE35" i="3"/>
  <c r="AE37" i="3"/>
  <c r="AE39" i="3"/>
  <c r="AE41" i="3"/>
  <c r="AF51" i="3"/>
  <c r="AG69" i="3"/>
  <c r="R76" i="3"/>
  <c r="AE81" i="3"/>
  <c r="AE83" i="3"/>
  <c r="H97" i="3"/>
  <c r="H99" i="3"/>
  <c r="R111" i="3"/>
  <c r="AE121" i="3"/>
  <c r="H135" i="3"/>
  <c r="H154" i="3"/>
  <c r="H155" i="3"/>
  <c r="U33" i="3"/>
  <c r="AE43" i="3"/>
  <c r="R63" i="3"/>
  <c r="U19" i="3"/>
  <c r="N29" i="3"/>
  <c r="N33" i="3"/>
  <c r="H119" i="3"/>
  <c r="AM119" i="3" s="1"/>
  <c r="AE52" i="3"/>
  <c r="Y10" i="3"/>
  <c r="N42" i="3"/>
  <c r="N91" i="3"/>
  <c r="N101" i="3"/>
  <c r="R10" i="3"/>
  <c r="U51" i="3"/>
  <c r="H70" i="3"/>
  <c r="U76" i="3"/>
  <c r="U84" i="3"/>
  <c r="H108" i="3"/>
  <c r="H112" i="3"/>
  <c r="AM112" i="3" s="1"/>
  <c r="N118" i="3"/>
  <c r="H125" i="3"/>
  <c r="AM125" i="3" s="1"/>
  <c r="N76" i="3"/>
  <c r="N84" i="3"/>
  <c r="AE154" i="3" l="1"/>
  <c r="AM154" i="3"/>
  <c r="AE113" i="3"/>
  <c r="AM113" i="3"/>
  <c r="AE74" i="3"/>
  <c r="AM74" i="3"/>
  <c r="AE31" i="3"/>
  <c r="AM31" i="3"/>
  <c r="AE25" i="3"/>
  <c r="AM25" i="3"/>
  <c r="AE110" i="3"/>
  <c r="AM110" i="3"/>
  <c r="AE28" i="3"/>
  <c r="AM28" i="3"/>
  <c r="AE94" i="3"/>
  <c r="AM94" i="3"/>
  <c r="AE149" i="3"/>
  <c r="AM149" i="3"/>
  <c r="AE72" i="3"/>
  <c r="AM72" i="3"/>
  <c r="AE135" i="3"/>
  <c r="AM135" i="3"/>
  <c r="AE66" i="3"/>
  <c r="AM66" i="3"/>
  <c r="AE53" i="3"/>
  <c r="AM53" i="3"/>
  <c r="AE23" i="3"/>
  <c r="AM23" i="3"/>
  <c r="AE26" i="3"/>
  <c r="AM26" i="3"/>
  <c r="AE60" i="3"/>
  <c r="AM60" i="3"/>
  <c r="AE133" i="3"/>
  <c r="AM133" i="3"/>
  <c r="AE96" i="3"/>
  <c r="AM96" i="3"/>
  <c r="AE22" i="3"/>
  <c r="AM22" i="3"/>
  <c r="AE132" i="3"/>
  <c r="AM132" i="3"/>
  <c r="AE95" i="3"/>
  <c r="AM95" i="3"/>
  <c r="AE32" i="3"/>
  <c r="AM32" i="3"/>
  <c r="AE21" i="3"/>
  <c r="AM21" i="3"/>
  <c r="AE24" i="3"/>
  <c r="AM24" i="3"/>
  <c r="AE114" i="3"/>
  <c r="AM114" i="3"/>
  <c r="AE75" i="3"/>
  <c r="AM75" i="3"/>
  <c r="AE87" i="3"/>
  <c r="AM87" i="3"/>
  <c r="AE73" i="3"/>
  <c r="AM73" i="3"/>
  <c r="AE122" i="3"/>
  <c r="AM122" i="3"/>
  <c r="AE93" i="3"/>
  <c r="AM93" i="3"/>
  <c r="AE130" i="3"/>
  <c r="AM130" i="3"/>
  <c r="AE38" i="3"/>
  <c r="AM38" i="3"/>
  <c r="AE147" i="3"/>
  <c r="AM147" i="3"/>
  <c r="AE98" i="3"/>
  <c r="AM98" i="3"/>
  <c r="AE92" i="3"/>
  <c r="AM92" i="3"/>
  <c r="AE139" i="3"/>
  <c r="AM139" i="3"/>
  <c r="AE134" i="3"/>
  <c r="AM134" i="3"/>
  <c r="AE48" i="3"/>
  <c r="AM48" i="3"/>
  <c r="AE70" i="3"/>
  <c r="AM70" i="3"/>
  <c r="AE99" i="3"/>
  <c r="AM99" i="3"/>
  <c r="AE57" i="3"/>
  <c r="AM57" i="3"/>
  <c r="AE129" i="3"/>
  <c r="AM129" i="3"/>
  <c r="AE86" i="3"/>
  <c r="AM86" i="3"/>
  <c r="AE89" i="3"/>
  <c r="AM89" i="3"/>
  <c r="AE88" i="3"/>
  <c r="AM88" i="3"/>
  <c r="AE62" i="3"/>
  <c r="AE140" i="3"/>
  <c r="AM140" i="3"/>
  <c r="AE59" i="3"/>
  <c r="AM59" i="3"/>
  <c r="AE108" i="3"/>
  <c r="AM108" i="3"/>
  <c r="AE155" i="3"/>
  <c r="AM155" i="3"/>
  <c r="AE97" i="3"/>
  <c r="AM97" i="3"/>
  <c r="AE90" i="3"/>
  <c r="AM90" i="3"/>
  <c r="AE27" i="3"/>
  <c r="AM27" i="3"/>
  <c r="AE151" i="3"/>
  <c r="AM151" i="3"/>
  <c r="AE65" i="3"/>
  <c r="AM65" i="3"/>
  <c r="AE85" i="3"/>
  <c r="AM85" i="3"/>
  <c r="AE150" i="3"/>
  <c r="AM150" i="3"/>
  <c r="AE71" i="3"/>
  <c r="AM71" i="3"/>
  <c r="AE138" i="3"/>
  <c r="AM138" i="3"/>
  <c r="AE109" i="3"/>
  <c r="AM109" i="3"/>
  <c r="AE159" i="3"/>
  <c r="AE3" i="3"/>
  <c r="AE127" i="3"/>
  <c r="AE131" i="3"/>
  <c r="AG161" i="3"/>
  <c r="AH161" i="3"/>
  <c r="AF161" i="3"/>
  <c r="AE137" i="3"/>
  <c r="H136" i="3"/>
  <c r="AM136" i="3" s="1"/>
  <c r="AE119" i="3"/>
  <c r="H118" i="3"/>
  <c r="AM118" i="3" s="1"/>
  <c r="AE10" i="3"/>
  <c r="AE84" i="3"/>
  <c r="AE153" i="3"/>
  <c r="AJ153" i="3" s="1"/>
  <c r="AE125" i="3"/>
  <c r="H124" i="3"/>
  <c r="AM124" i="3" s="1"/>
  <c r="AE107" i="3"/>
  <c r="AE145" i="3"/>
  <c r="AE91" i="3"/>
  <c r="AE106" i="3"/>
  <c r="H101" i="3"/>
  <c r="AM101" i="3" s="1"/>
  <c r="AE112" i="3"/>
  <c r="H111" i="3"/>
  <c r="AM111" i="3" s="1"/>
  <c r="AE76" i="3"/>
  <c r="AE19" i="3"/>
  <c r="AE33" i="3"/>
  <c r="AE29" i="3"/>
  <c r="H29" i="3"/>
  <c r="AM29" i="3" s="1"/>
  <c r="AE136" i="3"/>
  <c r="AJ136" i="3" s="1"/>
  <c r="H91" i="3"/>
  <c r="AM91" i="3" s="1"/>
  <c r="H19" i="3"/>
  <c r="AM19" i="3" s="1"/>
  <c r="H153" i="3"/>
  <c r="AM153" i="3" s="1"/>
  <c r="H145" i="3"/>
  <c r="AM145" i="3" s="1"/>
  <c r="H131" i="3"/>
  <c r="AM131" i="3" s="1"/>
  <c r="H51" i="3"/>
  <c r="AM51" i="3" s="1"/>
  <c r="H58" i="3"/>
  <c r="AM58" i="3" s="1"/>
  <c r="AE58" i="3"/>
  <c r="H69" i="3"/>
  <c r="AM69" i="3" s="1"/>
  <c r="H63" i="3"/>
  <c r="AM63" i="3" s="1"/>
  <c r="AE63" i="3"/>
  <c r="H127" i="3"/>
  <c r="AM127" i="3" s="1"/>
  <c r="H107" i="3"/>
  <c r="AM107" i="3" s="1"/>
  <c r="AE42" i="3"/>
  <c r="H84" i="3"/>
  <c r="AE69" i="3"/>
  <c r="AE51" i="3"/>
  <c r="AE111" i="3" l="1"/>
  <c r="AE118" i="3"/>
  <c r="AE101" i="3"/>
  <c r="AE124" i="3"/>
  <c r="AE161" i="3"/>
  <c r="D750" i="2"/>
  <c r="D749" i="2"/>
  <c r="D748" i="2"/>
  <c r="D747" i="2"/>
  <c r="D746" i="2"/>
  <c r="D745" i="2"/>
  <c r="D744" i="2"/>
  <c r="D743" i="2"/>
  <c r="D742" i="2"/>
  <c r="D741" i="2"/>
  <c r="D740" i="2"/>
  <c r="P48" i="10" l="1"/>
  <c r="O48" i="10"/>
  <c r="N48" i="10"/>
  <c r="M48" i="10"/>
  <c r="L48" i="10"/>
  <c r="P47" i="10"/>
  <c r="O47" i="10"/>
  <c r="N47" i="10"/>
  <c r="M47" i="10"/>
  <c r="L47" i="10"/>
  <c r="P46" i="10"/>
  <c r="O46" i="10"/>
  <c r="N46" i="10"/>
  <c r="M46" i="10"/>
  <c r="L46" i="10"/>
  <c r="P45" i="10"/>
  <c r="O45" i="10"/>
  <c r="N45" i="10"/>
  <c r="M45" i="10"/>
  <c r="L45" i="10"/>
  <c r="P44" i="10"/>
  <c r="O44" i="10"/>
  <c r="N44" i="10"/>
  <c r="M44" i="10"/>
  <c r="L44" i="10"/>
  <c r="P43" i="10"/>
  <c r="O43" i="10"/>
  <c r="N43" i="10"/>
  <c r="M43" i="10"/>
  <c r="L43" i="10"/>
  <c r="P28" i="10"/>
  <c r="P27" i="10"/>
  <c r="P26" i="10"/>
  <c r="P25" i="10"/>
  <c r="P24" i="10"/>
  <c r="P23" i="10"/>
  <c r="P22" i="10"/>
  <c r="P21" i="10"/>
  <c r="P20" i="10"/>
  <c r="P19" i="10"/>
  <c r="P18" i="10"/>
  <c r="P17" i="10"/>
  <c r="P16" i="10"/>
  <c r="P15" i="10"/>
  <c r="P14" i="10"/>
  <c r="P13" i="10"/>
  <c r="P12" i="10"/>
  <c r="P11" i="10"/>
  <c r="P10" i="10"/>
  <c r="P7" i="10"/>
  <c r="O7" i="10"/>
  <c r="N7" i="10"/>
  <c r="M7" i="10"/>
  <c r="L7" i="10"/>
  <c r="P6" i="10"/>
  <c r="O6" i="10"/>
  <c r="N6" i="10"/>
  <c r="M6" i="10"/>
  <c r="L6" i="10"/>
  <c r="P5" i="10"/>
  <c r="O5" i="10"/>
  <c r="N5" i="10"/>
  <c r="M5" i="10"/>
  <c r="L5" i="10"/>
  <c r="P4" i="10"/>
  <c r="O4" i="10"/>
  <c r="N4" i="10"/>
  <c r="M4" i="10"/>
  <c r="L4" i="10"/>
  <c r="P188" i="9"/>
  <c r="O188" i="9"/>
  <c r="N188" i="9"/>
  <c r="M188" i="9"/>
  <c r="L188" i="9"/>
  <c r="P187" i="9"/>
  <c r="O187" i="9"/>
  <c r="N187" i="9"/>
  <c r="M187" i="9"/>
  <c r="L187" i="9"/>
  <c r="P186" i="9"/>
  <c r="O186" i="9"/>
  <c r="N186" i="9"/>
  <c r="M186" i="9"/>
  <c r="L186" i="9"/>
  <c r="P185" i="9"/>
  <c r="O185" i="9"/>
  <c r="N185" i="9"/>
  <c r="M185" i="9"/>
  <c r="L185" i="9"/>
  <c r="P184" i="9"/>
  <c r="O184" i="9"/>
  <c r="N184" i="9"/>
  <c r="M184" i="9"/>
  <c r="L184" i="9"/>
  <c r="P183" i="9"/>
  <c r="O183" i="9"/>
  <c r="N183" i="9"/>
  <c r="M183" i="9"/>
  <c r="L183" i="9"/>
  <c r="P182" i="9"/>
  <c r="O182" i="9"/>
  <c r="N182" i="9"/>
  <c r="M182" i="9"/>
  <c r="L182" i="9"/>
  <c r="P181" i="9"/>
  <c r="O181" i="9"/>
  <c r="N181" i="9"/>
  <c r="M181" i="9"/>
  <c r="L181" i="9"/>
  <c r="P180" i="9"/>
  <c r="O180" i="9"/>
  <c r="N180" i="9"/>
  <c r="M180" i="9"/>
  <c r="L180" i="9"/>
  <c r="P179" i="9"/>
  <c r="O179" i="9"/>
  <c r="N179" i="9"/>
  <c r="M179" i="9"/>
  <c r="L179" i="9"/>
  <c r="P178" i="9"/>
  <c r="O178" i="9"/>
  <c r="N178" i="9"/>
  <c r="M178" i="9"/>
  <c r="L178" i="9"/>
  <c r="N42" i="10" l="1"/>
  <c r="L42" i="10"/>
  <c r="L3" i="10"/>
  <c r="L49" i="10" s="1"/>
  <c r="N3" i="10"/>
  <c r="N49" i="10" s="1"/>
  <c r="O3" i="10"/>
  <c r="L177" i="9"/>
  <c r="M42" i="10"/>
  <c r="O42" i="10"/>
  <c r="P42" i="10"/>
  <c r="P8" i="10"/>
  <c r="M3" i="10"/>
  <c r="M49" i="10" s="1"/>
  <c r="P3" i="10"/>
  <c r="P49" i="10" s="1"/>
  <c r="M177" i="9"/>
  <c r="N177" i="9"/>
  <c r="P177" i="9"/>
  <c r="O177" i="9"/>
  <c r="O49" i="10" l="1"/>
  <c r="J1684" i="2"/>
  <c r="I1684" i="2"/>
  <c r="H1684" i="2"/>
  <c r="G1684" i="2"/>
  <c r="J1683" i="2"/>
  <c r="I1683" i="2"/>
  <c r="H1683" i="2"/>
  <c r="G1683" i="2"/>
  <c r="J1682" i="2"/>
  <c r="I1682" i="2"/>
  <c r="H1682" i="2"/>
  <c r="G1682" i="2"/>
  <c r="J1681" i="2"/>
  <c r="I1681" i="2"/>
  <c r="H1681" i="2"/>
  <c r="G1681" i="2"/>
  <c r="J1680" i="2"/>
  <c r="I1680" i="2"/>
  <c r="H1680" i="2"/>
  <c r="G1680" i="2"/>
  <c r="J1679" i="2"/>
  <c r="I1679" i="2"/>
  <c r="H1679" i="2"/>
  <c r="G1679" i="2"/>
  <c r="J1678" i="2"/>
  <c r="I1678" i="2"/>
  <c r="H1678" i="2"/>
  <c r="G1678" i="2"/>
  <c r="J1677" i="2"/>
  <c r="I1677" i="2"/>
  <c r="H1677" i="2"/>
  <c r="G1677" i="2"/>
  <c r="J1676" i="2"/>
  <c r="I1676" i="2"/>
  <c r="H1676" i="2"/>
  <c r="G1676" i="2"/>
  <c r="J1675" i="2"/>
  <c r="I1675" i="2"/>
  <c r="H1675" i="2"/>
  <c r="G1675" i="2"/>
  <c r="J1674" i="2"/>
  <c r="I1674" i="2"/>
  <c r="H1674" i="2"/>
  <c r="G1674" i="2"/>
  <c r="J1673" i="2"/>
  <c r="I1673" i="2"/>
  <c r="H1673" i="2"/>
  <c r="G1673" i="2"/>
  <c r="J1672" i="2"/>
  <c r="I1672" i="2"/>
  <c r="H1672" i="2"/>
  <c r="G1672" i="2"/>
  <c r="J1671" i="2"/>
  <c r="I1671" i="2"/>
  <c r="H1671" i="2"/>
  <c r="G1671" i="2"/>
  <c r="J1670" i="2"/>
  <c r="I1670" i="2"/>
  <c r="H1670" i="2"/>
  <c r="G1670" i="2"/>
  <c r="J1669" i="2"/>
  <c r="I1669" i="2"/>
  <c r="H1669" i="2"/>
  <c r="G1669" i="2"/>
  <c r="J1668" i="2"/>
  <c r="I1668" i="2"/>
  <c r="H1668" i="2"/>
  <c r="G1668" i="2"/>
  <c r="J1667" i="2"/>
  <c r="I1667" i="2"/>
  <c r="H1667" i="2"/>
  <c r="G1667" i="2"/>
  <c r="J1662" i="2"/>
  <c r="I1662" i="2"/>
  <c r="H1662" i="2"/>
  <c r="G1662" i="2"/>
  <c r="J1661" i="2"/>
  <c r="I1661" i="2"/>
  <c r="H1661" i="2"/>
  <c r="G1661" i="2"/>
  <c r="J1660" i="2"/>
  <c r="I1660" i="2"/>
  <c r="H1660" i="2"/>
  <c r="G1660" i="2"/>
  <c r="J1659" i="2"/>
  <c r="I1659" i="2"/>
  <c r="H1659" i="2"/>
  <c r="G1659" i="2"/>
  <c r="J1658" i="2"/>
  <c r="I1658" i="2"/>
  <c r="H1658" i="2"/>
  <c r="G1658" i="2"/>
  <c r="J1657" i="2"/>
  <c r="I1657" i="2"/>
  <c r="H1657" i="2"/>
  <c r="G1657" i="2"/>
  <c r="J1656" i="2"/>
  <c r="I1656" i="2"/>
  <c r="H1656" i="2"/>
  <c r="G1656" i="2"/>
  <c r="J1655" i="2"/>
  <c r="I1655" i="2"/>
  <c r="H1655" i="2"/>
  <c r="G1655" i="2"/>
  <c r="J1654" i="2"/>
  <c r="I1654" i="2"/>
  <c r="H1654" i="2"/>
  <c r="G1654" i="2"/>
  <c r="J1653" i="2"/>
  <c r="I1653" i="2"/>
  <c r="H1653" i="2"/>
  <c r="G1653" i="2"/>
  <c r="J1652" i="2"/>
  <c r="I1652" i="2"/>
  <c r="H1652" i="2"/>
  <c r="G1652" i="2"/>
  <c r="J1651" i="2"/>
  <c r="I1651" i="2"/>
  <c r="H1651" i="2"/>
  <c r="G1651" i="2"/>
  <c r="J1650" i="2"/>
  <c r="I1650" i="2"/>
  <c r="H1650" i="2"/>
  <c r="G1650" i="2"/>
  <c r="J1649" i="2"/>
  <c r="I1649" i="2"/>
  <c r="H1649" i="2"/>
  <c r="G1649" i="2"/>
  <c r="J1648" i="2"/>
  <c r="I1648" i="2"/>
  <c r="H1648" i="2"/>
  <c r="G1648" i="2"/>
  <c r="H1646" i="2"/>
  <c r="G1646" i="2"/>
  <c r="H1645" i="2"/>
  <c r="G1645" i="2"/>
  <c r="H1644" i="2"/>
  <c r="G1644" i="2"/>
  <c r="H1643" i="2"/>
  <c r="G1643" i="2"/>
  <c r="H1642" i="2"/>
  <c r="G1642" i="2"/>
  <c r="J1640" i="2"/>
  <c r="I1640" i="2"/>
  <c r="H1640" i="2"/>
  <c r="G1640" i="2"/>
  <c r="J1639" i="2"/>
  <c r="I1639" i="2"/>
  <c r="H1639" i="2"/>
  <c r="G1639" i="2"/>
  <c r="J1638" i="2"/>
  <c r="I1638" i="2"/>
  <c r="H1638" i="2"/>
  <c r="G1638" i="2"/>
  <c r="J1637" i="2"/>
  <c r="I1637" i="2"/>
  <c r="H1637" i="2"/>
  <c r="G1637" i="2"/>
  <c r="J1636" i="2"/>
  <c r="I1636" i="2"/>
  <c r="H1636" i="2"/>
  <c r="G1636" i="2"/>
  <c r="J1635" i="2"/>
  <c r="I1635" i="2"/>
  <c r="H1635" i="2"/>
  <c r="G1635" i="2"/>
  <c r="J1634" i="2"/>
  <c r="I1634" i="2"/>
  <c r="H1634" i="2"/>
  <c r="G1634" i="2"/>
  <c r="J1633" i="2"/>
  <c r="I1633" i="2"/>
  <c r="H1633" i="2"/>
  <c r="G1633" i="2"/>
  <c r="J1632" i="2"/>
  <c r="I1632" i="2"/>
  <c r="H1632" i="2"/>
  <c r="G1632" i="2"/>
  <c r="J1631" i="2"/>
  <c r="I1631" i="2"/>
  <c r="H1631" i="2"/>
  <c r="G1631" i="2"/>
  <c r="J1630" i="2"/>
  <c r="I1630" i="2"/>
  <c r="H1630" i="2"/>
  <c r="G1630" i="2"/>
  <c r="J1629" i="2"/>
  <c r="I1629" i="2"/>
  <c r="H1629" i="2"/>
  <c r="G1629" i="2"/>
  <c r="J1628" i="2"/>
  <c r="I1628" i="2"/>
  <c r="H1628" i="2"/>
  <c r="G1628" i="2"/>
  <c r="J1627" i="2"/>
  <c r="I1627" i="2"/>
  <c r="H1627" i="2"/>
  <c r="G1627" i="2"/>
  <c r="J1626" i="2"/>
  <c r="I1626" i="2"/>
  <c r="H1626" i="2"/>
  <c r="G1626" i="2"/>
  <c r="J1625" i="2"/>
  <c r="I1625" i="2"/>
  <c r="H1625" i="2"/>
  <c r="G1625" i="2"/>
  <c r="J1601" i="2"/>
  <c r="I1601" i="2"/>
  <c r="H1601" i="2"/>
  <c r="G1601" i="2"/>
  <c r="J1600" i="2"/>
  <c r="I1600" i="2"/>
  <c r="H1600" i="2"/>
  <c r="G1600" i="2"/>
  <c r="J1599" i="2"/>
  <c r="I1599" i="2"/>
  <c r="H1599" i="2"/>
  <c r="G1599" i="2"/>
  <c r="J1598" i="2"/>
  <c r="I1598" i="2"/>
  <c r="H1598" i="2"/>
  <c r="G1598" i="2"/>
  <c r="J1597" i="2"/>
  <c r="I1597" i="2"/>
  <c r="H1597" i="2"/>
  <c r="G1597" i="2"/>
  <c r="J1596" i="2"/>
  <c r="I1596" i="2"/>
  <c r="H1596" i="2"/>
  <c r="G1596" i="2"/>
  <c r="J1595" i="2"/>
  <c r="I1595" i="2"/>
  <c r="H1595" i="2"/>
  <c r="G1595" i="2"/>
  <c r="J1594" i="2"/>
  <c r="I1594" i="2"/>
  <c r="H1594" i="2"/>
  <c r="G1594" i="2"/>
  <c r="J1593" i="2"/>
  <c r="I1593" i="2"/>
  <c r="H1593" i="2"/>
  <c r="G1593" i="2"/>
  <c r="J1592" i="2"/>
  <c r="I1592" i="2"/>
  <c r="H1592" i="2"/>
  <c r="G1592" i="2"/>
  <c r="J1591" i="2"/>
  <c r="I1591" i="2"/>
  <c r="H1591" i="2"/>
  <c r="G1591" i="2"/>
  <c r="J1590" i="2"/>
  <c r="I1590" i="2"/>
  <c r="H1590" i="2"/>
  <c r="G1590" i="2"/>
  <c r="J1589" i="2"/>
  <c r="I1589" i="2"/>
  <c r="H1589" i="2"/>
  <c r="G1589" i="2"/>
  <c r="J1588" i="2"/>
  <c r="I1588" i="2"/>
  <c r="H1588" i="2"/>
  <c r="G1588" i="2"/>
  <c r="J1587" i="2"/>
  <c r="I1587" i="2"/>
  <c r="H1587" i="2"/>
  <c r="G1587" i="2"/>
  <c r="J1586" i="2"/>
  <c r="I1586" i="2"/>
  <c r="H1586" i="2"/>
  <c r="G1586" i="2"/>
  <c r="J1585" i="2"/>
  <c r="I1585" i="2"/>
  <c r="H1585" i="2"/>
  <c r="G1585" i="2"/>
  <c r="J1584" i="2"/>
  <c r="I1584" i="2"/>
  <c r="H1584" i="2"/>
  <c r="G1584" i="2"/>
  <c r="J1583" i="2"/>
  <c r="I1583" i="2"/>
  <c r="H1583" i="2"/>
  <c r="G1583" i="2"/>
  <c r="J1582" i="2"/>
  <c r="I1582" i="2"/>
  <c r="H1582" i="2"/>
  <c r="G1582" i="2"/>
  <c r="J1581" i="2"/>
  <c r="I1581" i="2"/>
  <c r="H1581" i="2"/>
  <c r="G1581" i="2"/>
  <c r="J1580" i="2"/>
  <c r="I1580" i="2"/>
  <c r="H1580" i="2"/>
  <c r="G1580" i="2"/>
  <c r="J1579" i="2"/>
  <c r="I1579" i="2"/>
  <c r="H1579" i="2"/>
  <c r="G1579" i="2"/>
  <c r="J1578" i="2"/>
  <c r="I1578" i="2"/>
  <c r="H1578" i="2"/>
  <c r="G1578" i="2"/>
  <c r="J1577" i="2"/>
  <c r="I1577" i="2"/>
  <c r="H1577" i="2"/>
  <c r="G1577" i="2"/>
  <c r="J1576" i="2"/>
  <c r="I1576" i="2"/>
  <c r="H1576" i="2"/>
  <c r="G1576" i="2"/>
  <c r="J1575" i="2"/>
  <c r="I1575" i="2"/>
  <c r="H1575" i="2"/>
  <c r="G1575" i="2"/>
  <c r="J1574" i="2"/>
  <c r="I1574" i="2"/>
  <c r="H1574" i="2"/>
  <c r="G1574" i="2"/>
  <c r="J1573" i="2"/>
  <c r="I1573" i="2"/>
  <c r="H1573" i="2"/>
  <c r="G1573" i="2"/>
  <c r="J1549" i="2"/>
  <c r="I1549" i="2"/>
  <c r="H1549" i="2"/>
  <c r="G1549" i="2"/>
  <c r="J1548" i="2"/>
  <c r="I1548" i="2"/>
  <c r="H1548" i="2"/>
  <c r="G1548" i="2"/>
  <c r="J1547" i="2"/>
  <c r="I1547" i="2"/>
  <c r="H1547" i="2"/>
  <c r="G1547" i="2"/>
  <c r="J1546" i="2"/>
  <c r="I1546" i="2"/>
  <c r="H1546" i="2"/>
  <c r="G1546" i="2"/>
  <c r="J1545" i="2"/>
  <c r="I1545" i="2"/>
  <c r="H1545" i="2"/>
  <c r="G1545" i="2"/>
  <c r="J1544" i="2"/>
  <c r="I1544" i="2"/>
  <c r="H1544" i="2"/>
  <c r="G1544" i="2"/>
  <c r="J1543" i="2"/>
  <c r="I1543" i="2"/>
  <c r="H1543" i="2"/>
  <c r="G1543" i="2"/>
  <c r="J1542" i="2"/>
  <c r="I1542" i="2"/>
  <c r="H1542" i="2"/>
  <c r="G1542" i="2"/>
  <c r="J1541" i="2"/>
  <c r="I1541" i="2"/>
  <c r="H1541" i="2"/>
  <c r="G1541" i="2"/>
  <c r="J1540" i="2"/>
  <c r="I1540" i="2"/>
  <c r="H1540" i="2"/>
  <c r="G1540" i="2"/>
  <c r="J1539" i="2"/>
  <c r="I1539" i="2"/>
  <c r="H1539" i="2"/>
  <c r="G1539" i="2"/>
  <c r="J1538" i="2"/>
  <c r="I1538" i="2"/>
  <c r="H1538" i="2"/>
  <c r="G1538" i="2"/>
  <c r="J1536" i="2"/>
  <c r="I1536" i="2"/>
  <c r="H1536" i="2"/>
  <c r="G1536" i="2"/>
  <c r="J1535" i="2"/>
  <c r="I1535" i="2"/>
  <c r="H1535" i="2"/>
  <c r="G1535" i="2"/>
  <c r="J1534" i="2"/>
  <c r="I1534" i="2"/>
  <c r="H1534" i="2"/>
  <c r="G1534" i="2"/>
  <c r="J1533" i="2"/>
  <c r="I1533" i="2"/>
  <c r="H1533" i="2"/>
  <c r="G1533" i="2"/>
  <c r="J1532" i="2"/>
  <c r="I1532" i="2"/>
  <c r="H1532" i="2"/>
  <c r="G1532" i="2"/>
  <c r="J1531" i="2"/>
  <c r="I1531" i="2"/>
  <c r="H1531" i="2"/>
  <c r="G1531" i="2"/>
  <c r="J1530" i="2"/>
  <c r="I1530" i="2"/>
  <c r="H1530" i="2"/>
  <c r="G1530" i="2"/>
  <c r="J1529" i="2"/>
  <c r="I1529" i="2"/>
  <c r="H1529" i="2"/>
  <c r="G1529" i="2"/>
  <c r="J1528" i="2"/>
  <c r="I1528" i="2"/>
  <c r="H1528" i="2"/>
  <c r="G1528" i="2"/>
  <c r="J1527" i="2"/>
  <c r="I1527" i="2"/>
  <c r="H1527" i="2"/>
  <c r="G1527" i="2"/>
  <c r="J1526" i="2"/>
  <c r="I1526" i="2"/>
  <c r="H1526" i="2"/>
  <c r="G1526" i="2"/>
  <c r="J1525" i="2"/>
  <c r="I1525" i="2"/>
  <c r="H1525" i="2"/>
  <c r="G1525" i="2"/>
  <c r="J1524" i="2"/>
  <c r="I1524" i="2"/>
  <c r="H1524" i="2"/>
  <c r="G1524" i="2"/>
  <c r="J1522" i="2"/>
  <c r="I1522" i="2"/>
  <c r="H1522" i="2"/>
  <c r="G1522" i="2"/>
  <c r="J1521" i="2"/>
  <c r="I1521" i="2"/>
  <c r="H1521" i="2"/>
  <c r="G1521" i="2"/>
  <c r="J1520" i="2"/>
  <c r="I1520" i="2"/>
  <c r="H1520" i="2"/>
  <c r="G1520" i="2"/>
  <c r="J1519" i="2"/>
  <c r="I1519" i="2"/>
  <c r="H1519" i="2"/>
  <c r="G1519" i="2"/>
  <c r="J1518" i="2"/>
  <c r="I1518" i="2"/>
  <c r="H1518" i="2"/>
  <c r="G1518" i="2"/>
  <c r="J1516" i="2"/>
  <c r="I1516" i="2"/>
  <c r="H1516" i="2"/>
  <c r="G1516" i="2"/>
  <c r="J1515" i="2"/>
  <c r="I1515" i="2"/>
  <c r="H1515" i="2"/>
  <c r="G1515" i="2"/>
  <c r="J1514" i="2"/>
  <c r="I1514" i="2"/>
  <c r="H1514" i="2"/>
  <c r="G1514" i="2"/>
  <c r="J1513" i="2"/>
  <c r="I1513" i="2"/>
  <c r="H1513" i="2"/>
  <c r="G1513" i="2"/>
  <c r="J1512" i="2"/>
  <c r="I1512" i="2"/>
  <c r="H1512" i="2"/>
  <c r="G1512" i="2"/>
  <c r="J1511" i="2"/>
  <c r="I1511" i="2"/>
  <c r="H1511" i="2"/>
  <c r="G1511" i="2"/>
  <c r="J1510" i="2"/>
  <c r="I1510" i="2"/>
  <c r="H1510" i="2"/>
  <c r="G1510" i="2"/>
  <c r="J1509" i="2"/>
  <c r="I1509" i="2"/>
  <c r="H1509" i="2"/>
  <c r="G1509" i="2"/>
  <c r="J1508" i="2"/>
  <c r="I1508" i="2"/>
  <c r="H1508" i="2"/>
  <c r="G1508" i="2"/>
  <c r="J1505" i="2"/>
  <c r="I1505" i="2"/>
  <c r="H1505" i="2"/>
  <c r="G1505" i="2"/>
  <c r="J1504" i="2"/>
  <c r="I1504" i="2"/>
  <c r="H1504" i="2"/>
  <c r="G1504" i="2"/>
  <c r="J1503" i="2"/>
  <c r="I1503" i="2"/>
  <c r="H1503" i="2"/>
  <c r="G1503" i="2"/>
  <c r="J1502" i="2"/>
  <c r="I1502" i="2"/>
  <c r="H1502" i="2"/>
  <c r="G1502" i="2"/>
  <c r="J1501" i="2"/>
  <c r="I1501" i="2"/>
  <c r="H1501" i="2"/>
  <c r="G1501" i="2"/>
  <c r="J1500" i="2"/>
  <c r="I1500" i="2"/>
  <c r="H1500" i="2"/>
  <c r="G1500" i="2"/>
  <c r="J1499" i="2"/>
  <c r="I1499" i="2"/>
  <c r="H1499" i="2"/>
  <c r="G1499" i="2"/>
  <c r="J1498" i="2"/>
  <c r="I1498" i="2"/>
  <c r="H1498" i="2"/>
  <c r="G1498" i="2"/>
  <c r="J1497" i="2"/>
  <c r="I1497" i="2"/>
  <c r="H1497" i="2"/>
  <c r="G1497" i="2"/>
  <c r="J1496" i="2"/>
  <c r="I1496" i="2"/>
  <c r="H1496" i="2"/>
  <c r="G1496" i="2"/>
  <c r="J1495" i="2"/>
  <c r="I1495" i="2"/>
  <c r="H1495" i="2"/>
  <c r="G1495" i="2"/>
  <c r="J1494" i="2"/>
  <c r="I1494" i="2"/>
  <c r="H1494" i="2"/>
  <c r="G1494" i="2"/>
  <c r="J1493" i="2"/>
  <c r="I1493" i="2"/>
  <c r="H1493" i="2"/>
  <c r="G1493" i="2"/>
  <c r="J1492" i="2"/>
  <c r="I1492" i="2"/>
  <c r="H1492" i="2"/>
  <c r="G1492" i="2"/>
  <c r="J1491" i="2"/>
  <c r="I1491" i="2"/>
  <c r="H1491" i="2"/>
  <c r="G1491" i="2"/>
  <c r="J1490" i="2"/>
  <c r="I1490" i="2"/>
  <c r="H1490" i="2"/>
  <c r="G1490" i="2"/>
  <c r="J1489" i="2"/>
  <c r="I1489" i="2"/>
  <c r="H1489" i="2"/>
  <c r="G1489" i="2"/>
  <c r="J1488" i="2"/>
  <c r="I1488" i="2"/>
  <c r="H1488" i="2"/>
  <c r="G1488" i="2"/>
  <c r="J1487" i="2"/>
  <c r="I1487" i="2"/>
  <c r="H1487" i="2"/>
  <c r="G1487" i="2"/>
  <c r="J1486" i="2"/>
  <c r="I1486" i="2"/>
  <c r="H1486" i="2"/>
  <c r="G1486" i="2"/>
  <c r="J1485" i="2"/>
  <c r="I1485" i="2"/>
  <c r="H1485" i="2"/>
  <c r="G1485" i="2"/>
  <c r="J1484" i="2"/>
  <c r="I1484" i="2"/>
  <c r="H1484" i="2"/>
  <c r="G1484" i="2"/>
  <c r="J1483" i="2"/>
  <c r="I1483" i="2"/>
  <c r="H1483" i="2"/>
  <c r="G1483" i="2"/>
  <c r="J1482" i="2"/>
  <c r="I1482" i="2"/>
  <c r="H1482" i="2"/>
  <c r="G1482" i="2"/>
  <c r="J1481" i="2"/>
  <c r="I1481" i="2"/>
  <c r="H1481" i="2"/>
  <c r="G1481" i="2"/>
  <c r="J1480" i="2"/>
  <c r="I1480" i="2"/>
  <c r="H1480" i="2"/>
  <c r="G1480" i="2"/>
  <c r="J1479" i="2"/>
  <c r="I1479" i="2"/>
  <c r="H1479" i="2"/>
  <c r="G1479" i="2"/>
  <c r="J1471" i="2"/>
  <c r="I1471" i="2"/>
  <c r="H1471" i="2"/>
  <c r="G1471" i="2"/>
  <c r="J1470" i="2"/>
  <c r="I1470" i="2"/>
  <c r="H1470" i="2"/>
  <c r="G1470" i="2"/>
  <c r="J1469" i="2"/>
  <c r="I1469" i="2"/>
  <c r="H1469" i="2"/>
  <c r="G1469" i="2"/>
  <c r="J1468" i="2"/>
  <c r="I1468" i="2"/>
  <c r="H1468" i="2"/>
  <c r="G1468" i="2"/>
  <c r="J1467" i="2"/>
  <c r="I1467" i="2"/>
  <c r="H1467" i="2"/>
  <c r="G1467" i="2"/>
  <c r="J1466" i="2"/>
  <c r="I1466" i="2"/>
  <c r="H1466" i="2"/>
  <c r="G1466" i="2"/>
  <c r="J1465" i="2"/>
  <c r="I1465" i="2"/>
  <c r="H1465" i="2"/>
  <c r="G1465" i="2"/>
  <c r="J1464" i="2"/>
  <c r="I1464" i="2"/>
  <c r="H1464" i="2"/>
  <c r="G1464" i="2"/>
  <c r="J1463" i="2"/>
  <c r="I1463" i="2"/>
  <c r="H1463" i="2"/>
  <c r="G1463" i="2"/>
  <c r="J1462" i="2"/>
  <c r="I1462" i="2"/>
  <c r="H1462" i="2"/>
  <c r="G1462" i="2"/>
  <c r="J1461" i="2"/>
  <c r="I1461" i="2"/>
  <c r="H1461" i="2"/>
  <c r="G1461" i="2"/>
  <c r="J1460" i="2"/>
  <c r="I1460" i="2"/>
  <c r="H1460" i="2"/>
  <c r="G1460" i="2"/>
  <c r="J1457" i="2"/>
  <c r="I1457" i="2"/>
  <c r="H1457" i="2"/>
  <c r="J1456" i="2"/>
  <c r="I1456" i="2"/>
  <c r="J1454" i="2"/>
  <c r="I1454" i="2"/>
  <c r="H1454" i="2"/>
  <c r="G1454" i="2"/>
  <c r="J1453" i="2"/>
  <c r="I1453" i="2"/>
  <c r="H1453" i="2"/>
  <c r="J1452" i="2"/>
  <c r="I1452" i="2"/>
  <c r="H1452" i="2"/>
  <c r="G1452" i="2"/>
  <c r="J1451" i="2"/>
  <c r="I1451" i="2"/>
  <c r="H1451" i="2"/>
  <c r="G1451" i="2"/>
  <c r="J1450" i="2"/>
  <c r="I1450" i="2"/>
  <c r="J1449" i="2"/>
  <c r="I1449" i="2"/>
  <c r="H1449" i="2"/>
  <c r="G1449" i="2"/>
  <c r="J1448" i="2"/>
  <c r="I1448" i="2"/>
  <c r="H1448" i="2"/>
  <c r="G1448" i="2"/>
  <c r="J1447" i="2"/>
  <c r="I1447" i="2"/>
  <c r="J1446" i="2"/>
  <c r="I1446" i="2"/>
  <c r="H1446" i="2"/>
  <c r="G1446" i="2"/>
  <c r="J1445" i="2"/>
  <c r="I1445" i="2"/>
  <c r="H1445" i="2"/>
  <c r="G1445" i="2"/>
  <c r="J1444" i="2"/>
  <c r="I1444" i="2"/>
  <c r="H1444" i="2"/>
  <c r="G1444" i="2"/>
  <c r="J1443" i="2"/>
  <c r="I1443" i="2"/>
  <c r="J1436" i="2"/>
  <c r="I1436" i="2"/>
  <c r="J1435" i="2"/>
  <c r="I1435" i="2"/>
  <c r="J658" i="2"/>
  <c r="I658" i="2"/>
  <c r="H658" i="2"/>
  <c r="G658" i="2"/>
  <c r="J656" i="2"/>
  <c r="I656" i="2"/>
  <c r="H656" i="2"/>
  <c r="G656" i="2"/>
  <c r="J655" i="2"/>
  <c r="I655" i="2"/>
  <c r="H655" i="2"/>
  <c r="G655" i="2"/>
  <c r="J654" i="2"/>
  <c r="I654" i="2"/>
  <c r="H654" i="2"/>
  <c r="G654" i="2"/>
  <c r="J653" i="2"/>
  <c r="I653" i="2"/>
  <c r="H653" i="2"/>
  <c r="G653" i="2"/>
  <c r="J652" i="2"/>
  <c r="I652" i="2"/>
  <c r="H652" i="2"/>
  <c r="G652" i="2"/>
  <c r="J651" i="2"/>
  <c r="I651" i="2"/>
  <c r="H651" i="2"/>
  <c r="G651" i="2"/>
  <c r="J650" i="2"/>
  <c r="I650" i="2"/>
  <c r="H650" i="2"/>
  <c r="G650" i="2"/>
  <c r="J649" i="2"/>
  <c r="I649" i="2"/>
  <c r="H649" i="2"/>
  <c r="G649" i="2"/>
  <c r="J648" i="2"/>
  <c r="I648" i="2"/>
  <c r="H648" i="2"/>
  <c r="G648" i="2"/>
  <c r="J647" i="2"/>
  <c r="I647" i="2"/>
  <c r="H647" i="2"/>
  <c r="G647" i="2"/>
  <c r="J646" i="2"/>
  <c r="I646" i="2"/>
  <c r="H646" i="2"/>
  <c r="G646" i="2"/>
  <c r="J645" i="2"/>
  <c r="I645" i="2"/>
  <c r="H645" i="2"/>
  <c r="G645" i="2"/>
  <c r="J644" i="2"/>
  <c r="I644" i="2"/>
  <c r="H644" i="2"/>
  <c r="G644" i="2"/>
  <c r="J643" i="2"/>
  <c r="I643" i="2"/>
  <c r="H643" i="2"/>
  <c r="G643" i="2"/>
  <c r="J642" i="2"/>
  <c r="I642" i="2"/>
  <c r="H642" i="2"/>
  <c r="G642" i="2"/>
  <c r="J641" i="2"/>
  <c r="I641" i="2"/>
  <c r="H641" i="2"/>
  <c r="G641" i="2"/>
  <c r="J640" i="2"/>
  <c r="I640" i="2"/>
  <c r="H640" i="2"/>
  <c r="G640" i="2"/>
  <c r="J639" i="2"/>
  <c r="I639" i="2"/>
  <c r="H639" i="2"/>
  <c r="G639" i="2"/>
  <c r="J638" i="2"/>
  <c r="I638" i="2"/>
  <c r="H638" i="2"/>
  <c r="G638" i="2"/>
  <c r="J637" i="2"/>
  <c r="I637" i="2"/>
  <c r="H637" i="2"/>
  <c r="G637" i="2"/>
  <c r="J636" i="2"/>
  <c r="I636" i="2"/>
  <c r="H636" i="2"/>
  <c r="G636" i="2"/>
  <c r="J635" i="2"/>
  <c r="I635" i="2"/>
  <c r="H635" i="2"/>
  <c r="G635" i="2"/>
  <c r="J634" i="2"/>
  <c r="I634" i="2"/>
  <c r="H634" i="2"/>
  <c r="G634" i="2"/>
  <c r="J617" i="2"/>
  <c r="I617" i="2"/>
  <c r="H617" i="2"/>
  <c r="G617" i="2"/>
  <c r="J616" i="2"/>
  <c r="I616" i="2"/>
  <c r="H616" i="2"/>
  <c r="G616" i="2"/>
  <c r="J615" i="2"/>
  <c r="I615" i="2"/>
  <c r="H615" i="2"/>
  <c r="G615" i="2"/>
  <c r="J614" i="2"/>
  <c r="I614" i="2"/>
  <c r="H614" i="2"/>
  <c r="G614" i="2"/>
  <c r="J613" i="2"/>
  <c r="I613" i="2"/>
  <c r="H613" i="2"/>
  <c r="G613" i="2"/>
  <c r="J612" i="2"/>
  <c r="I612" i="2"/>
  <c r="H612" i="2"/>
  <c r="G612" i="2"/>
  <c r="J611" i="2"/>
  <c r="I611" i="2"/>
  <c r="H611" i="2"/>
  <c r="G611" i="2"/>
  <c r="J609" i="2"/>
  <c r="I609" i="2"/>
  <c r="H609" i="2"/>
  <c r="G609" i="2"/>
  <c r="J608" i="2"/>
  <c r="I608" i="2"/>
  <c r="H608" i="2"/>
  <c r="G608" i="2"/>
  <c r="J607" i="2"/>
  <c r="I607" i="2"/>
  <c r="H607" i="2"/>
  <c r="G607" i="2"/>
  <c r="J606" i="2"/>
  <c r="I606" i="2"/>
  <c r="H606" i="2"/>
  <c r="G606" i="2"/>
  <c r="J605" i="2"/>
  <c r="I605" i="2"/>
  <c r="H605" i="2"/>
  <c r="G605" i="2"/>
  <c r="J604" i="2"/>
  <c r="I604" i="2"/>
  <c r="H604" i="2"/>
  <c r="G604" i="2"/>
  <c r="J603" i="2"/>
  <c r="I603" i="2"/>
  <c r="H603" i="2"/>
  <c r="G603" i="2"/>
  <c r="J602" i="2"/>
  <c r="I602" i="2"/>
  <c r="H602" i="2"/>
  <c r="G602" i="2"/>
  <c r="J600" i="2"/>
  <c r="I600" i="2"/>
  <c r="H600" i="2"/>
  <c r="G600" i="2"/>
  <c r="J595" i="2"/>
  <c r="I595" i="2"/>
  <c r="H595" i="2"/>
  <c r="G595" i="2"/>
  <c r="J593" i="2"/>
  <c r="I593" i="2"/>
  <c r="H593" i="2"/>
  <c r="G593" i="2"/>
  <c r="J592" i="2"/>
  <c r="J590" i="2"/>
  <c r="I590" i="2"/>
  <c r="H590" i="2"/>
  <c r="G590" i="2"/>
  <c r="J587" i="2"/>
  <c r="I587" i="2"/>
  <c r="H587" i="2"/>
  <c r="G587" i="2"/>
  <c r="J586" i="2"/>
  <c r="I586" i="2"/>
  <c r="H586" i="2"/>
  <c r="G586" i="2"/>
  <c r="J585" i="2"/>
  <c r="I585" i="2"/>
  <c r="H585" i="2"/>
  <c r="G585" i="2"/>
  <c r="J584" i="2"/>
  <c r="I584" i="2"/>
  <c r="H584" i="2"/>
  <c r="G584" i="2"/>
  <c r="J583" i="2"/>
  <c r="I583" i="2"/>
  <c r="H583" i="2"/>
  <c r="G583" i="2"/>
  <c r="J582" i="2"/>
  <c r="I582" i="2"/>
  <c r="H582" i="2"/>
  <c r="G582" i="2"/>
  <c r="J581" i="2"/>
  <c r="I581" i="2"/>
  <c r="H581" i="2"/>
  <c r="G581" i="2"/>
  <c r="J580" i="2"/>
  <c r="I580" i="2"/>
  <c r="H580" i="2"/>
  <c r="G580" i="2"/>
  <c r="J579" i="2"/>
  <c r="I579" i="2"/>
  <c r="H579" i="2"/>
  <c r="G579" i="2"/>
  <c r="J578" i="2"/>
  <c r="I578" i="2"/>
  <c r="H578" i="2"/>
  <c r="G578" i="2"/>
  <c r="J577" i="2"/>
  <c r="I577" i="2"/>
  <c r="H577" i="2"/>
  <c r="G577" i="2"/>
  <c r="J576" i="2"/>
  <c r="I576" i="2"/>
  <c r="H576" i="2"/>
  <c r="G576" i="2"/>
  <c r="J575" i="2"/>
  <c r="I575" i="2"/>
  <c r="H575" i="2"/>
  <c r="G575" i="2"/>
  <c r="J574" i="2"/>
  <c r="I574" i="2"/>
  <c r="H574" i="2"/>
  <c r="G574" i="2"/>
  <c r="J573" i="2"/>
  <c r="I573" i="2"/>
  <c r="H573" i="2"/>
  <c r="G573" i="2"/>
  <c r="J572" i="2"/>
  <c r="I572" i="2"/>
  <c r="H572" i="2"/>
  <c r="G572" i="2"/>
  <c r="J571" i="2"/>
  <c r="I571" i="2"/>
  <c r="H571" i="2"/>
  <c r="G571" i="2"/>
  <c r="J570" i="2"/>
  <c r="I570" i="2"/>
  <c r="H570" i="2"/>
  <c r="G570" i="2"/>
  <c r="J569" i="2"/>
  <c r="I569" i="2"/>
  <c r="H569" i="2"/>
  <c r="G569" i="2"/>
  <c r="J568" i="2"/>
  <c r="I568" i="2"/>
  <c r="H568" i="2"/>
  <c r="G568" i="2"/>
  <c r="J567" i="2"/>
  <c r="I567" i="2"/>
  <c r="H567" i="2"/>
  <c r="G567" i="2"/>
  <c r="J566" i="2"/>
  <c r="I566" i="2"/>
  <c r="H566" i="2"/>
  <c r="G566" i="2"/>
  <c r="J565" i="2"/>
  <c r="I565" i="2"/>
  <c r="H565" i="2"/>
  <c r="G565" i="2"/>
  <c r="J564" i="2"/>
  <c r="I564" i="2"/>
  <c r="H564" i="2"/>
  <c r="G564" i="2"/>
  <c r="J563" i="2"/>
  <c r="I563" i="2"/>
  <c r="H563" i="2"/>
  <c r="G563" i="2"/>
  <c r="J562" i="2"/>
  <c r="I562" i="2"/>
  <c r="H562" i="2"/>
  <c r="G562" i="2"/>
  <c r="J561" i="2"/>
  <c r="I561" i="2"/>
  <c r="H561" i="2"/>
  <c r="G561" i="2"/>
  <c r="J560" i="2"/>
  <c r="I560" i="2"/>
  <c r="H560" i="2"/>
  <c r="G560" i="2"/>
  <c r="J559" i="2"/>
  <c r="I559" i="2"/>
  <c r="H559" i="2"/>
  <c r="G559" i="2"/>
  <c r="J557" i="2"/>
  <c r="I557" i="2"/>
  <c r="H557" i="2"/>
  <c r="G557" i="2"/>
  <c r="J556" i="2"/>
  <c r="I556" i="2"/>
  <c r="H556" i="2"/>
  <c r="G556" i="2"/>
  <c r="J555" i="2"/>
  <c r="I555" i="2"/>
  <c r="H555" i="2"/>
  <c r="G555" i="2"/>
  <c r="J554" i="2"/>
  <c r="I554" i="2"/>
  <c r="H554" i="2"/>
  <c r="G554" i="2"/>
  <c r="J553" i="2"/>
  <c r="I553" i="2"/>
  <c r="H553" i="2"/>
  <c r="G553" i="2"/>
  <c r="J552" i="2"/>
  <c r="I552" i="2"/>
  <c r="H552" i="2"/>
  <c r="G552" i="2"/>
  <c r="J551" i="2"/>
  <c r="I551" i="2"/>
  <c r="H551" i="2"/>
  <c r="G551" i="2"/>
  <c r="J550" i="2"/>
  <c r="I550" i="2"/>
  <c r="H550" i="2"/>
  <c r="G550" i="2"/>
  <c r="J549" i="2"/>
  <c r="I549" i="2"/>
  <c r="H549" i="2"/>
  <c r="G549" i="2"/>
  <c r="J548" i="2"/>
  <c r="I548" i="2"/>
  <c r="H548" i="2"/>
  <c r="G548" i="2"/>
  <c r="J547" i="2"/>
  <c r="I547" i="2"/>
  <c r="H547" i="2"/>
  <c r="G547" i="2"/>
  <c r="J546" i="2"/>
  <c r="I546" i="2"/>
  <c r="H546" i="2"/>
  <c r="G546" i="2"/>
  <c r="J545" i="2"/>
  <c r="I545" i="2"/>
  <c r="H545" i="2"/>
  <c r="G545" i="2"/>
  <c r="J544" i="2"/>
  <c r="I544" i="2"/>
  <c r="H544" i="2"/>
  <c r="G544" i="2"/>
  <c r="J543" i="2"/>
  <c r="I543" i="2"/>
  <c r="H543" i="2"/>
  <c r="G543" i="2"/>
  <c r="J542" i="2"/>
  <c r="I542" i="2"/>
  <c r="H542" i="2"/>
  <c r="G542" i="2"/>
  <c r="J541" i="2"/>
  <c r="I541" i="2"/>
  <c r="H541" i="2"/>
  <c r="G541" i="2"/>
  <c r="J540" i="2"/>
  <c r="I540" i="2"/>
  <c r="H540" i="2"/>
  <c r="G540" i="2"/>
  <c r="J539" i="2"/>
  <c r="I539" i="2"/>
  <c r="H539" i="2"/>
  <c r="G539" i="2"/>
  <c r="J538" i="2"/>
  <c r="I538" i="2"/>
  <c r="H538" i="2"/>
  <c r="G538" i="2"/>
  <c r="J537" i="2"/>
  <c r="I537" i="2"/>
  <c r="H537" i="2"/>
  <c r="G537" i="2"/>
  <c r="J536" i="2"/>
  <c r="I536" i="2"/>
  <c r="H536" i="2"/>
  <c r="G536" i="2"/>
  <c r="J535" i="2"/>
  <c r="I535" i="2"/>
  <c r="H535" i="2"/>
  <c r="G535" i="2"/>
  <c r="J534" i="2"/>
  <c r="I534" i="2"/>
  <c r="H534" i="2"/>
  <c r="G534" i="2"/>
  <c r="J532" i="2"/>
  <c r="I532" i="2"/>
  <c r="H532" i="2"/>
  <c r="G532" i="2"/>
  <c r="J531" i="2"/>
  <c r="I531" i="2"/>
  <c r="H531" i="2"/>
  <c r="G531" i="2"/>
  <c r="J530" i="2"/>
  <c r="I530" i="2"/>
  <c r="H530" i="2"/>
  <c r="G530" i="2"/>
  <c r="J527" i="2"/>
  <c r="I527" i="2"/>
  <c r="H527" i="2"/>
  <c r="G527" i="2"/>
  <c r="J524" i="2"/>
  <c r="I524" i="2"/>
  <c r="H524" i="2"/>
  <c r="G524" i="2"/>
  <c r="J522" i="2"/>
  <c r="I522" i="2"/>
  <c r="H522" i="2"/>
  <c r="G522" i="2"/>
  <c r="J521" i="2"/>
  <c r="I521" i="2"/>
  <c r="H521" i="2"/>
  <c r="G521" i="2"/>
  <c r="J520" i="2"/>
  <c r="I520" i="2"/>
  <c r="H520" i="2"/>
  <c r="G520" i="2"/>
  <c r="J519" i="2"/>
  <c r="I519" i="2"/>
  <c r="H519" i="2"/>
  <c r="G519" i="2"/>
  <c r="J518" i="2"/>
  <c r="I518" i="2"/>
  <c r="H518" i="2"/>
  <c r="G518" i="2"/>
  <c r="J517" i="2"/>
  <c r="I517" i="2"/>
  <c r="H517" i="2"/>
  <c r="G517" i="2"/>
  <c r="J516" i="2"/>
  <c r="I516" i="2"/>
  <c r="H516" i="2"/>
  <c r="G516" i="2"/>
  <c r="J511" i="2"/>
  <c r="I511" i="2"/>
  <c r="H511" i="2"/>
  <c r="G511" i="2"/>
  <c r="I510" i="2"/>
  <c r="G510" i="2"/>
  <c r="J508" i="2"/>
  <c r="I508" i="2"/>
  <c r="H508" i="2"/>
  <c r="G508" i="2"/>
  <c r="J506" i="2"/>
  <c r="I506" i="2"/>
  <c r="J505" i="2"/>
  <c r="I505" i="2"/>
  <c r="J504" i="2"/>
  <c r="I504" i="2"/>
  <c r="J503" i="2"/>
  <c r="I503" i="2"/>
  <c r="D500" i="2"/>
  <c r="D499" i="2"/>
  <c r="D498" i="2"/>
  <c r="D497" i="2"/>
  <c r="D496" i="2"/>
  <c r="D495" i="2"/>
  <c r="D493" i="2"/>
  <c r="D492" i="2"/>
  <c r="D491" i="2"/>
  <c r="D489" i="2"/>
  <c r="D488" i="2"/>
  <c r="D486" i="2"/>
  <c r="D485" i="2"/>
  <c r="D484" i="2"/>
  <c r="D483" i="2"/>
  <c r="D482" i="2"/>
  <c r="D481" i="2"/>
  <c r="D479" i="2"/>
  <c r="D478" i="2"/>
  <c r="D475" i="2"/>
  <c r="D474" i="2"/>
  <c r="D473" i="2"/>
  <c r="D472" i="2"/>
  <c r="D471" i="2"/>
  <c r="D470" i="2"/>
  <c r="D469" i="2"/>
  <c r="D468" i="2"/>
  <c r="D467" i="2"/>
  <c r="D466" i="2"/>
  <c r="D465" i="2"/>
  <c r="D464" i="2"/>
  <c r="D463" i="2"/>
  <c r="D461" i="2"/>
  <c r="D459" i="2"/>
  <c r="D458" i="2"/>
  <c r="D457" i="2"/>
  <c r="D456" i="2"/>
  <c r="D455" i="2"/>
  <c r="D454" i="2"/>
  <c r="D195" i="2"/>
  <c r="D194" i="2"/>
  <c r="D193" i="2"/>
  <c r="D192" i="2"/>
  <c r="D191" i="2"/>
  <c r="D190" i="2"/>
  <c r="D189" i="2"/>
  <c r="D188" i="2"/>
  <c r="D187" i="2"/>
  <c r="D186" i="2"/>
  <c r="D185" i="2"/>
  <c r="D184"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J159" i="9" l="1"/>
  <c r="P159" i="9" s="1"/>
  <c r="I159" i="9"/>
  <c r="O159" i="9" s="1"/>
  <c r="H159" i="9"/>
  <c r="N159" i="9" s="1"/>
  <c r="G159" i="9"/>
  <c r="M159" i="9" s="1"/>
  <c r="J158" i="9"/>
  <c r="P158" i="9" s="1"/>
  <c r="I158" i="9"/>
  <c r="O158" i="9" s="1"/>
  <c r="H158" i="9"/>
  <c r="N158" i="9" s="1"/>
  <c r="G158" i="9"/>
  <c r="M158" i="9" s="1"/>
  <c r="J156" i="9"/>
  <c r="P156" i="9" s="1"/>
  <c r="I156" i="9"/>
  <c r="O156" i="9" s="1"/>
  <c r="H156" i="9"/>
  <c r="N156" i="9" s="1"/>
  <c r="G156" i="9"/>
  <c r="M156" i="9" s="1"/>
  <c r="J155" i="9"/>
  <c r="P155" i="9" s="1"/>
  <c r="I155" i="9"/>
  <c r="O155" i="9" s="1"/>
  <c r="H155" i="9"/>
  <c r="N155" i="9" s="1"/>
  <c r="G155" i="9"/>
  <c r="M155" i="9" s="1"/>
  <c r="J154" i="9"/>
  <c r="P154" i="9" s="1"/>
  <c r="I154" i="9"/>
  <c r="O154" i="9" s="1"/>
  <c r="H154" i="9"/>
  <c r="N154" i="9" s="1"/>
  <c r="G154" i="9"/>
  <c r="M154" i="9" s="1"/>
  <c r="J153" i="9"/>
  <c r="P153" i="9" s="1"/>
  <c r="I153" i="9"/>
  <c r="O153" i="9" s="1"/>
  <c r="H153" i="9"/>
  <c r="N153" i="9" s="1"/>
  <c r="G153" i="9"/>
  <c r="M153" i="9" s="1"/>
  <c r="J152" i="9"/>
  <c r="P152" i="9" s="1"/>
  <c r="I152" i="9"/>
  <c r="O152" i="9" s="1"/>
  <c r="H152" i="9"/>
  <c r="N152" i="9" s="1"/>
  <c r="G152" i="9"/>
  <c r="M152" i="9" s="1"/>
  <c r="J151" i="9"/>
  <c r="P151" i="9" s="1"/>
  <c r="I151" i="9"/>
  <c r="O151" i="9" s="1"/>
  <c r="H151" i="9"/>
  <c r="N151" i="9" s="1"/>
  <c r="G151" i="9"/>
  <c r="M151" i="9" s="1"/>
  <c r="J150" i="9"/>
  <c r="P150" i="9" s="1"/>
  <c r="I150" i="9"/>
  <c r="O150" i="9" s="1"/>
  <c r="H150" i="9"/>
  <c r="N150" i="9" s="1"/>
  <c r="G150" i="9"/>
  <c r="M150" i="9" s="1"/>
  <c r="J149" i="9"/>
  <c r="P149" i="9" s="1"/>
  <c r="I149" i="9"/>
  <c r="O149" i="9" s="1"/>
  <c r="H149" i="9"/>
  <c r="N149" i="9" s="1"/>
  <c r="G149" i="9"/>
  <c r="M149" i="9" s="1"/>
  <c r="J148" i="9"/>
  <c r="P148" i="9" s="1"/>
  <c r="I148" i="9"/>
  <c r="O148" i="9" s="1"/>
  <c r="H148" i="9"/>
  <c r="N148" i="9" s="1"/>
  <c r="G148" i="9"/>
  <c r="M148" i="9" s="1"/>
  <c r="J147" i="9"/>
  <c r="P147" i="9" s="1"/>
  <c r="I147" i="9"/>
  <c r="O147" i="9" s="1"/>
  <c r="H147" i="9"/>
  <c r="N147" i="9" s="1"/>
  <c r="G147" i="9"/>
  <c r="M147" i="9" s="1"/>
  <c r="J146" i="9"/>
  <c r="P146" i="9" s="1"/>
  <c r="I146" i="9"/>
  <c r="O146" i="9" s="1"/>
  <c r="H146" i="9"/>
  <c r="N146" i="9" s="1"/>
  <c r="G146" i="9"/>
  <c r="M146" i="9" s="1"/>
  <c r="J145" i="9"/>
  <c r="P145" i="9" s="1"/>
  <c r="I145" i="9"/>
  <c r="O145" i="9" s="1"/>
  <c r="H145" i="9"/>
  <c r="N145" i="9" s="1"/>
  <c r="G145" i="9"/>
  <c r="M145" i="9" s="1"/>
  <c r="J144" i="9"/>
  <c r="P144" i="9" s="1"/>
  <c r="I144" i="9"/>
  <c r="O144" i="9" s="1"/>
  <c r="H144" i="9"/>
  <c r="N144" i="9" s="1"/>
  <c r="G144" i="9"/>
  <c r="M144" i="9" s="1"/>
  <c r="J143" i="9"/>
  <c r="P143" i="9" s="1"/>
  <c r="I143" i="9"/>
  <c r="O143" i="9" s="1"/>
  <c r="H143" i="9"/>
  <c r="N143" i="9" s="1"/>
  <c r="G143" i="9"/>
  <c r="M143" i="9" s="1"/>
  <c r="J142" i="9"/>
  <c r="P142" i="9" s="1"/>
  <c r="I142" i="9"/>
  <c r="O142" i="9" s="1"/>
  <c r="H142" i="9"/>
  <c r="N142" i="9" s="1"/>
  <c r="G142" i="9"/>
  <c r="M142" i="9" s="1"/>
  <c r="J141" i="9"/>
  <c r="P141" i="9" s="1"/>
  <c r="I141" i="9"/>
  <c r="O141" i="9" s="1"/>
  <c r="H141" i="9"/>
  <c r="N141" i="9" s="1"/>
  <c r="G141" i="9"/>
  <c r="M141" i="9" s="1"/>
  <c r="J140" i="9"/>
  <c r="P140" i="9" s="1"/>
  <c r="I140" i="9"/>
  <c r="O140" i="9" s="1"/>
  <c r="H140" i="9"/>
  <c r="N140" i="9" s="1"/>
  <c r="G140" i="9"/>
  <c r="M140" i="9" s="1"/>
  <c r="J139" i="9"/>
  <c r="P139" i="9" s="1"/>
  <c r="I139" i="9"/>
  <c r="O139" i="9" s="1"/>
  <c r="H139" i="9"/>
  <c r="N139" i="9" s="1"/>
  <c r="G139" i="9"/>
  <c r="M139" i="9" s="1"/>
  <c r="J138" i="9"/>
  <c r="P138" i="9" s="1"/>
  <c r="I138" i="9"/>
  <c r="O138" i="9" s="1"/>
  <c r="H138" i="9"/>
  <c r="N138" i="9" s="1"/>
  <c r="G138" i="9"/>
  <c r="M138" i="9" s="1"/>
  <c r="J137" i="9"/>
  <c r="P137" i="9" s="1"/>
  <c r="I137" i="9"/>
  <c r="O137" i="9" s="1"/>
  <c r="H137" i="9"/>
  <c r="N137" i="9" s="1"/>
  <c r="G137" i="9"/>
  <c r="M137" i="9" s="1"/>
  <c r="J136" i="9"/>
  <c r="P136" i="9" s="1"/>
  <c r="I136" i="9"/>
  <c r="O136" i="9" s="1"/>
  <c r="H136" i="9"/>
  <c r="N136" i="9" s="1"/>
  <c r="G136" i="9"/>
  <c r="M136" i="9" s="1"/>
  <c r="J135" i="9"/>
  <c r="P135" i="9" s="1"/>
  <c r="I135" i="9"/>
  <c r="O135" i="9" s="1"/>
  <c r="H135" i="9"/>
  <c r="N135" i="9" s="1"/>
  <c r="G135" i="9"/>
  <c r="M135" i="9" s="1"/>
  <c r="J134" i="9"/>
  <c r="P134" i="9" s="1"/>
  <c r="I134" i="9"/>
  <c r="O134" i="9" s="1"/>
  <c r="H134" i="9"/>
  <c r="N134" i="9" s="1"/>
  <c r="G134" i="9"/>
  <c r="M134" i="9" s="1"/>
  <c r="J117" i="9"/>
  <c r="P117" i="9" s="1"/>
  <c r="I117" i="9"/>
  <c r="O117" i="9" s="1"/>
  <c r="H117" i="9"/>
  <c r="N117" i="9" s="1"/>
  <c r="G117" i="9"/>
  <c r="M117" i="9" s="1"/>
  <c r="J116" i="9"/>
  <c r="P116" i="9" s="1"/>
  <c r="I116" i="9"/>
  <c r="O116" i="9" s="1"/>
  <c r="H116" i="9"/>
  <c r="N116" i="9" s="1"/>
  <c r="G116" i="9"/>
  <c r="M116" i="9" s="1"/>
  <c r="J115" i="9"/>
  <c r="P115" i="9" s="1"/>
  <c r="I115" i="9"/>
  <c r="O115" i="9" s="1"/>
  <c r="H115" i="9"/>
  <c r="N115" i="9" s="1"/>
  <c r="G115" i="9"/>
  <c r="M115" i="9" s="1"/>
  <c r="J114" i="9"/>
  <c r="P114" i="9" s="1"/>
  <c r="I114" i="9"/>
  <c r="O114" i="9" s="1"/>
  <c r="H114" i="9"/>
  <c r="N114" i="9" s="1"/>
  <c r="G114" i="9"/>
  <c r="M114" i="9" s="1"/>
  <c r="J113" i="9"/>
  <c r="P113" i="9" s="1"/>
  <c r="I113" i="9"/>
  <c r="O113" i="9" s="1"/>
  <c r="H113" i="9"/>
  <c r="N113" i="9" s="1"/>
  <c r="G113" i="9"/>
  <c r="M113" i="9" s="1"/>
  <c r="J112" i="9"/>
  <c r="P112" i="9" s="1"/>
  <c r="I112" i="9"/>
  <c r="O112" i="9" s="1"/>
  <c r="H112" i="9"/>
  <c r="N112" i="9" s="1"/>
  <c r="G112" i="9"/>
  <c r="M112" i="9" s="1"/>
  <c r="J111" i="9"/>
  <c r="P111" i="9" s="1"/>
  <c r="I111" i="9"/>
  <c r="O111" i="9" s="1"/>
  <c r="H111" i="9"/>
  <c r="N111" i="9" s="1"/>
  <c r="G111" i="9"/>
  <c r="M111" i="9" s="1"/>
  <c r="J110" i="9"/>
  <c r="P110" i="9" s="1"/>
  <c r="I110" i="9"/>
  <c r="O110" i="9" s="1"/>
  <c r="H110" i="9"/>
  <c r="N110" i="9" s="1"/>
  <c r="G110" i="9"/>
  <c r="M110" i="9" s="1"/>
  <c r="J109" i="9"/>
  <c r="P109" i="9" s="1"/>
  <c r="I109" i="9"/>
  <c r="O109" i="9" s="1"/>
  <c r="H109" i="9"/>
  <c r="N109" i="9" s="1"/>
  <c r="G109" i="9"/>
  <c r="M109" i="9" s="1"/>
  <c r="J108" i="9"/>
  <c r="P108" i="9" s="1"/>
  <c r="I108" i="9"/>
  <c r="O108" i="9" s="1"/>
  <c r="H108" i="9"/>
  <c r="N108" i="9" s="1"/>
  <c r="G108" i="9"/>
  <c r="M108" i="9" s="1"/>
  <c r="J107" i="9"/>
  <c r="P107" i="9" s="1"/>
  <c r="I107" i="9"/>
  <c r="O107" i="9" s="1"/>
  <c r="H107" i="9"/>
  <c r="N107" i="9" s="1"/>
  <c r="G107" i="9"/>
  <c r="M107" i="9" s="1"/>
  <c r="J106" i="9"/>
  <c r="P106" i="9" s="1"/>
  <c r="I106" i="9"/>
  <c r="O106" i="9" s="1"/>
  <c r="H106" i="9"/>
  <c r="N106" i="9" s="1"/>
  <c r="G106" i="9"/>
  <c r="M106" i="9" s="1"/>
  <c r="J105" i="9"/>
  <c r="P105" i="9" s="1"/>
  <c r="I105" i="9"/>
  <c r="O105" i="9" s="1"/>
  <c r="H105" i="9"/>
  <c r="N105" i="9" s="1"/>
  <c r="G105" i="9"/>
  <c r="M105" i="9" s="1"/>
  <c r="J104" i="9"/>
  <c r="P104" i="9" s="1"/>
  <c r="I104" i="9"/>
  <c r="O104" i="9" s="1"/>
  <c r="H104" i="9"/>
  <c r="N104" i="9" s="1"/>
  <c r="G104" i="9"/>
  <c r="M104" i="9" s="1"/>
  <c r="J103" i="9"/>
  <c r="P103" i="9" s="1"/>
  <c r="I103" i="9"/>
  <c r="O103" i="9" s="1"/>
  <c r="H103" i="9"/>
  <c r="N103" i="9" s="1"/>
  <c r="G103" i="9"/>
  <c r="M103" i="9" s="1"/>
  <c r="J102" i="9"/>
  <c r="P102" i="9" s="1"/>
  <c r="I102" i="9"/>
  <c r="O102" i="9" s="1"/>
  <c r="H102" i="9"/>
  <c r="N102" i="9" s="1"/>
  <c r="G102" i="9"/>
  <c r="M102" i="9" s="1"/>
  <c r="J100" i="9"/>
  <c r="P100" i="9" s="1"/>
  <c r="I100" i="9"/>
  <c r="O100" i="9" s="1"/>
  <c r="H100" i="9"/>
  <c r="N100" i="9" s="1"/>
  <c r="G100" i="9"/>
  <c r="M100" i="9" s="1"/>
  <c r="J95" i="9"/>
  <c r="P95" i="9" s="1"/>
  <c r="I95" i="9"/>
  <c r="O95" i="9" s="1"/>
  <c r="H95" i="9"/>
  <c r="N95" i="9" s="1"/>
  <c r="G95" i="9"/>
  <c r="M95" i="9" s="1"/>
  <c r="J93" i="9"/>
  <c r="P93" i="9" s="1"/>
  <c r="I93" i="9"/>
  <c r="O93" i="9" s="1"/>
  <c r="H93" i="9"/>
  <c r="N93" i="9" s="1"/>
  <c r="G93" i="9"/>
  <c r="M93" i="9" s="1"/>
  <c r="J92" i="9"/>
  <c r="P92" i="9" s="1"/>
  <c r="J91" i="9"/>
  <c r="P91" i="9" s="1"/>
  <c r="I91" i="9"/>
  <c r="O91" i="9" s="1"/>
  <c r="H91" i="9"/>
  <c r="N91" i="9" s="1"/>
  <c r="G91" i="9"/>
  <c r="M91" i="9" s="1"/>
  <c r="J88" i="9"/>
  <c r="P88" i="9" s="1"/>
  <c r="I88" i="9"/>
  <c r="O88" i="9" s="1"/>
  <c r="H88" i="9"/>
  <c r="N88" i="9" s="1"/>
  <c r="G88" i="9"/>
  <c r="M88" i="9" s="1"/>
  <c r="J87" i="9"/>
  <c r="P87" i="9" s="1"/>
  <c r="I87" i="9"/>
  <c r="O87" i="9" s="1"/>
  <c r="H87" i="9"/>
  <c r="N87" i="9" s="1"/>
  <c r="G87" i="9"/>
  <c r="M87" i="9" s="1"/>
  <c r="J86" i="9"/>
  <c r="P86" i="9" s="1"/>
  <c r="I86" i="9"/>
  <c r="O86" i="9" s="1"/>
  <c r="H86" i="9"/>
  <c r="N86" i="9" s="1"/>
  <c r="G86" i="9"/>
  <c r="M86" i="9" s="1"/>
  <c r="J85" i="9"/>
  <c r="P85" i="9" s="1"/>
  <c r="I85" i="9"/>
  <c r="O85" i="9" s="1"/>
  <c r="H85" i="9"/>
  <c r="N85" i="9" s="1"/>
  <c r="G85" i="9"/>
  <c r="M85" i="9" s="1"/>
  <c r="J84" i="9"/>
  <c r="P84" i="9" s="1"/>
  <c r="I84" i="9"/>
  <c r="O84" i="9" s="1"/>
  <c r="H84" i="9"/>
  <c r="N84" i="9" s="1"/>
  <c r="G84" i="9"/>
  <c r="M84" i="9" s="1"/>
  <c r="J83" i="9"/>
  <c r="P83" i="9" s="1"/>
  <c r="I83" i="9"/>
  <c r="O83" i="9" s="1"/>
  <c r="H83" i="9"/>
  <c r="N83" i="9" s="1"/>
  <c r="G83" i="9"/>
  <c r="M83" i="9" s="1"/>
  <c r="J82" i="9"/>
  <c r="P82" i="9" s="1"/>
  <c r="I82" i="9"/>
  <c r="O82" i="9" s="1"/>
  <c r="H82" i="9"/>
  <c r="N82" i="9" s="1"/>
  <c r="G82" i="9"/>
  <c r="M82" i="9" s="1"/>
  <c r="J81" i="9"/>
  <c r="P81" i="9" s="1"/>
  <c r="I81" i="9"/>
  <c r="O81" i="9" s="1"/>
  <c r="H81" i="9"/>
  <c r="N81" i="9" s="1"/>
  <c r="G81" i="9"/>
  <c r="M81" i="9" s="1"/>
  <c r="J80" i="9"/>
  <c r="P80" i="9" s="1"/>
  <c r="I80" i="9"/>
  <c r="O80" i="9" s="1"/>
  <c r="H80" i="9"/>
  <c r="N80" i="9" s="1"/>
  <c r="G80" i="9"/>
  <c r="M80" i="9" s="1"/>
  <c r="J79" i="9"/>
  <c r="P79" i="9" s="1"/>
  <c r="I79" i="9"/>
  <c r="O79" i="9" s="1"/>
  <c r="H79" i="9"/>
  <c r="N79" i="9" s="1"/>
  <c r="G79" i="9"/>
  <c r="M79" i="9" s="1"/>
  <c r="J78" i="9"/>
  <c r="P78" i="9" s="1"/>
  <c r="I78" i="9"/>
  <c r="O78" i="9" s="1"/>
  <c r="H78" i="9"/>
  <c r="N78" i="9" s="1"/>
  <c r="G78" i="9"/>
  <c r="M78" i="9" s="1"/>
  <c r="J77" i="9"/>
  <c r="P77" i="9" s="1"/>
  <c r="I77" i="9"/>
  <c r="O77" i="9" s="1"/>
  <c r="H77" i="9"/>
  <c r="N77" i="9" s="1"/>
  <c r="G77" i="9"/>
  <c r="M77" i="9" s="1"/>
  <c r="J76" i="9"/>
  <c r="P76" i="9" s="1"/>
  <c r="I76" i="9"/>
  <c r="O76" i="9" s="1"/>
  <c r="H76" i="9"/>
  <c r="N76" i="9" s="1"/>
  <c r="G76" i="9"/>
  <c r="M76" i="9" s="1"/>
  <c r="J75" i="9"/>
  <c r="P75" i="9" s="1"/>
  <c r="I75" i="9"/>
  <c r="O75" i="9" s="1"/>
  <c r="H75" i="9"/>
  <c r="N75" i="9" s="1"/>
  <c r="G75" i="9"/>
  <c r="M75" i="9" s="1"/>
  <c r="J74" i="9"/>
  <c r="P74" i="9" s="1"/>
  <c r="I74" i="9"/>
  <c r="O74" i="9" s="1"/>
  <c r="H74" i="9"/>
  <c r="N74" i="9" s="1"/>
  <c r="G74" i="9"/>
  <c r="M74" i="9" s="1"/>
  <c r="J73" i="9"/>
  <c r="P73" i="9" s="1"/>
  <c r="I73" i="9"/>
  <c r="O73" i="9" s="1"/>
  <c r="H73" i="9"/>
  <c r="N73" i="9" s="1"/>
  <c r="G73" i="9"/>
  <c r="M73" i="9" s="1"/>
  <c r="J72" i="9"/>
  <c r="P72" i="9" s="1"/>
  <c r="I72" i="9"/>
  <c r="O72" i="9" s="1"/>
  <c r="H72" i="9"/>
  <c r="N72" i="9" s="1"/>
  <c r="G72" i="9"/>
  <c r="M72" i="9" s="1"/>
  <c r="J71" i="9"/>
  <c r="P71" i="9" s="1"/>
  <c r="I71" i="9"/>
  <c r="O71" i="9" s="1"/>
  <c r="H71" i="9"/>
  <c r="N71" i="9" s="1"/>
  <c r="G71" i="9"/>
  <c r="M71" i="9" s="1"/>
  <c r="J70" i="9"/>
  <c r="P70" i="9" s="1"/>
  <c r="I70" i="9"/>
  <c r="O70" i="9" s="1"/>
  <c r="H70" i="9"/>
  <c r="N70" i="9" s="1"/>
  <c r="G70" i="9"/>
  <c r="M70" i="9" s="1"/>
  <c r="J69" i="9"/>
  <c r="P69" i="9" s="1"/>
  <c r="I69" i="9"/>
  <c r="O69" i="9" s="1"/>
  <c r="H69" i="9"/>
  <c r="N69" i="9" s="1"/>
  <c r="G69" i="9"/>
  <c r="M69" i="9" s="1"/>
  <c r="J68" i="9"/>
  <c r="P68" i="9" s="1"/>
  <c r="I68" i="9"/>
  <c r="O68" i="9" s="1"/>
  <c r="H68" i="9"/>
  <c r="N68" i="9" s="1"/>
  <c r="G68" i="9"/>
  <c r="M68" i="9" s="1"/>
  <c r="J67" i="9"/>
  <c r="P67" i="9" s="1"/>
  <c r="I67" i="9"/>
  <c r="O67" i="9" s="1"/>
  <c r="H67" i="9"/>
  <c r="N67" i="9" s="1"/>
  <c r="G67" i="9"/>
  <c r="M67" i="9" s="1"/>
  <c r="J66" i="9"/>
  <c r="P66" i="9" s="1"/>
  <c r="I66" i="9"/>
  <c r="O66" i="9" s="1"/>
  <c r="H66" i="9"/>
  <c r="N66" i="9" s="1"/>
  <c r="G66" i="9"/>
  <c r="M66" i="9" s="1"/>
  <c r="J65" i="9"/>
  <c r="P65" i="9" s="1"/>
  <c r="I65" i="9"/>
  <c r="O65" i="9" s="1"/>
  <c r="H65" i="9"/>
  <c r="N65" i="9" s="1"/>
  <c r="G65" i="9"/>
  <c r="M65" i="9" s="1"/>
  <c r="J64" i="9"/>
  <c r="P64" i="9" s="1"/>
  <c r="I64" i="9"/>
  <c r="O64" i="9" s="1"/>
  <c r="H64" i="9"/>
  <c r="N64" i="9" s="1"/>
  <c r="G64" i="9"/>
  <c r="M64" i="9" s="1"/>
  <c r="J63" i="9"/>
  <c r="P63" i="9" s="1"/>
  <c r="I63" i="9"/>
  <c r="O63" i="9" s="1"/>
  <c r="H63" i="9"/>
  <c r="N63" i="9" s="1"/>
  <c r="G63" i="9"/>
  <c r="M63" i="9" s="1"/>
  <c r="J62" i="9"/>
  <c r="P62" i="9" s="1"/>
  <c r="I62" i="9"/>
  <c r="O62" i="9" s="1"/>
  <c r="H62" i="9"/>
  <c r="N62" i="9" s="1"/>
  <c r="G62" i="9"/>
  <c r="M62" i="9" s="1"/>
  <c r="J61" i="9"/>
  <c r="P61" i="9" s="1"/>
  <c r="I61" i="9"/>
  <c r="O61" i="9" s="1"/>
  <c r="H61" i="9"/>
  <c r="N61" i="9" s="1"/>
  <c r="G61" i="9"/>
  <c r="M61" i="9" s="1"/>
  <c r="J60" i="9"/>
  <c r="P60" i="9" s="1"/>
  <c r="I60" i="9"/>
  <c r="O60" i="9" s="1"/>
  <c r="H60" i="9"/>
  <c r="N60" i="9" s="1"/>
  <c r="G60" i="9"/>
  <c r="M60" i="9" s="1"/>
  <c r="J58" i="9"/>
  <c r="P58" i="9" s="1"/>
  <c r="I58" i="9"/>
  <c r="O58" i="9" s="1"/>
  <c r="H58" i="9"/>
  <c r="N58" i="9" s="1"/>
  <c r="G58" i="9"/>
  <c r="M58" i="9" s="1"/>
  <c r="J57" i="9"/>
  <c r="P57" i="9" s="1"/>
  <c r="I57" i="9"/>
  <c r="O57" i="9" s="1"/>
  <c r="H57" i="9"/>
  <c r="N57" i="9" s="1"/>
  <c r="G57" i="9"/>
  <c r="M57" i="9" s="1"/>
  <c r="J56" i="9"/>
  <c r="P56" i="9" s="1"/>
  <c r="I56" i="9"/>
  <c r="O56" i="9" s="1"/>
  <c r="H56" i="9"/>
  <c r="N56" i="9" s="1"/>
  <c r="G56" i="9"/>
  <c r="M56" i="9" s="1"/>
  <c r="J55" i="9"/>
  <c r="P55" i="9" s="1"/>
  <c r="I55" i="9"/>
  <c r="O55" i="9" s="1"/>
  <c r="H55" i="9"/>
  <c r="N55" i="9" s="1"/>
  <c r="G55" i="9"/>
  <c r="M55" i="9" s="1"/>
  <c r="J54" i="9"/>
  <c r="P54" i="9" s="1"/>
  <c r="I54" i="9"/>
  <c r="O54" i="9" s="1"/>
  <c r="H54" i="9"/>
  <c r="N54" i="9" s="1"/>
  <c r="G54" i="9"/>
  <c r="M54" i="9" s="1"/>
  <c r="J53" i="9"/>
  <c r="P53" i="9" s="1"/>
  <c r="I53" i="9"/>
  <c r="O53" i="9" s="1"/>
  <c r="H53" i="9"/>
  <c r="N53" i="9" s="1"/>
  <c r="G53" i="9"/>
  <c r="M53" i="9" s="1"/>
  <c r="J52" i="9"/>
  <c r="P52" i="9" s="1"/>
  <c r="I52" i="9"/>
  <c r="O52" i="9" s="1"/>
  <c r="H52" i="9"/>
  <c r="N52" i="9" s="1"/>
  <c r="G52" i="9"/>
  <c r="M52" i="9" s="1"/>
  <c r="J51" i="9"/>
  <c r="P51" i="9" s="1"/>
  <c r="I51" i="9"/>
  <c r="O51" i="9" s="1"/>
  <c r="H51" i="9"/>
  <c r="N51" i="9" s="1"/>
  <c r="G51" i="9"/>
  <c r="M51" i="9" s="1"/>
  <c r="J50" i="9"/>
  <c r="P50" i="9" s="1"/>
  <c r="I50" i="9"/>
  <c r="O50" i="9" s="1"/>
  <c r="H50" i="9"/>
  <c r="N50" i="9" s="1"/>
  <c r="G50" i="9"/>
  <c r="M50" i="9" s="1"/>
  <c r="J49" i="9"/>
  <c r="P49" i="9" s="1"/>
  <c r="I49" i="9"/>
  <c r="O49" i="9" s="1"/>
  <c r="H49" i="9"/>
  <c r="N49" i="9" s="1"/>
  <c r="G49" i="9"/>
  <c r="M49" i="9" s="1"/>
  <c r="J48" i="9"/>
  <c r="P48" i="9" s="1"/>
  <c r="I48" i="9"/>
  <c r="O48" i="9" s="1"/>
  <c r="H48" i="9"/>
  <c r="N48" i="9" s="1"/>
  <c r="G48" i="9"/>
  <c r="M48" i="9" s="1"/>
  <c r="J47" i="9"/>
  <c r="P47" i="9" s="1"/>
  <c r="I47" i="9"/>
  <c r="O47" i="9" s="1"/>
  <c r="H47" i="9"/>
  <c r="N47" i="9" s="1"/>
  <c r="G47" i="9"/>
  <c r="M47" i="9" s="1"/>
  <c r="J46" i="9"/>
  <c r="P46" i="9" s="1"/>
  <c r="I46" i="9"/>
  <c r="O46" i="9" s="1"/>
  <c r="H46" i="9"/>
  <c r="N46" i="9" s="1"/>
  <c r="G46" i="9"/>
  <c r="M46" i="9" s="1"/>
  <c r="J45" i="9"/>
  <c r="P45" i="9" s="1"/>
  <c r="I45" i="9"/>
  <c r="O45" i="9" s="1"/>
  <c r="H45" i="9"/>
  <c r="N45" i="9" s="1"/>
  <c r="G45" i="9"/>
  <c r="M45" i="9" s="1"/>
  <c r="J44" i="9"/>
  <c r="P44" i="9" s="1"/>
  <c r="I44" i="9"/>
  <c r="O44" i="9" s="1"/>
  <c r="H44" i="9"/>
  <c r="N44" i="9" s="1"/>
  <c r="G44" i="9"/>
  <c r="M44" i="9" s="1"/>
  <c r="J43" i="9"/>
  <c r="P43" i="9" s="1"/>
  <c r="I43" i="9"/>
  <c r="O43" i="9" s="1"/>
  <c r="H43" i="9"/>
  <c r="N43" i="9" s="1"/>
  <c r="G43" i="9"/>
  <c r="M43" i="9" s="1"/>
  <c r="J42" i="9"/>
  <c r="P42" i="9" s="1"/>
  <c r="I42" i="9"/>
  <c r="O42" i="9" s="1"/>
  <c r="H42" i="9"/>
  <c r="N42" i="9" s="1"/>
  <c r="G42" i="9"/>
  <c r="M42" i="9" s="1"/>
  <c r="J41" i="9"/>
  <c r="P41" i="9" s="1"/>
  <c r="I41" i="9"/>
  <c r="O41" i="9" s="1"/>
  <c r="H41" i="9"/>
  <c r="N41" i="9" s="1"/>
  <c r="G41" i="9"/>
  <c r="M41" i="9" s="1"/>
  <c r="J40" i="9"/>
  <c r="P40" i="9" s="1"/>
  <c r="I40" i="9"/>
  <c r="O40" i="9" s="1"/>
  <c r="H40" i="9"/>
  <c r="N40" i="9" s="1"/>
  <c r="G40" i="9"/>
  <c r="M40" i="9" s="1"/>
  <c r="J39" i="9"/>
  <c r="P39" i="9" s="1"/>
  <c r="I39" i="9"/>
  <c r="O39" i="9" s="1"/>
  <c r="H39" i="9"/>
  <c r="N39" i="9" s="1"/>
  <c r="G39" i="9"/>
  <c r="M39" i="9" s="1"/>
  <c r="J38" i="9"/>
  <c r="P38" i="9" s="1"/>
  <c r="I38" i="9"/>
  <c r="O38" i="9" s="1"/>
  <c r="H38" i="9"/>
  <c r="N38" i="9" s="1"/>
  <c r="G38" i="9"/>
  <c r="M38" i="9" s="1"/>
  <c r="J37" i="9"/>
  <c r="P37" i="9" s="1"/>
  <c r="I37" i="9"/>
  <c r="O37" i="9" s="1"/>
  <c r="H37" i="9"/>
  <c r="N37" i="9" s="1"/>
  <c r="G37" i="9"/>
  <c r="M37" i="9" s="1"/>
  <c r="J36" i="9"/>
  <c r="P36" i="9" s="1"/>
  <c r="I36" i="9"/>
  <c r="O36" i="9" s="1"/>
  <c r="H36" i="9"/>
  <c r="N36" i="9" s="1"/>
  <c r="G36" i="9"/>
  <c r="M36" i="9" s="1"/>
  <c r="J35" i="9"/>
  <c r="P35" i="9" s="1"/>
  <c r="I35" i="9"/>
  <c r="O35" i="9" s="1"/>
  <c r="H35" i="9"/>
  <c r="N35" i="9" s="1"/>
  <c r="G35" i="9"/>
  <c r="M35" i="9" s="1"/>
  <c r="J33" i="9"/>
  <c r="P33" i="9" s="1"/>
  <c r="I33" i="9"/>
  <c r="O33" i="9" s="1"/>
  <c r="H33" i="9"/>
  <c r="N33" i="9" s="1"/>
  <c r="G33" i="9"/>
  <c r="M33" i="9" s="1"/>
  <c r="J32" i="9"/>
  <c r="P32" i="9" s="1"/>
  <c r="I32" i="9"/>
  <c r="O32" i="9" s="1"/>
  <c r="H32" i="9"/>
  <c r="N32" i="9" s="1"/>
  <c r="G32" i="9"/>
  <c r="M32" i="9" s="1"/>
  <c r="J31" i="9"/>
  <c r="P31" i="9" s="1"/>
  <c r="I31" i="9"/>
  <c r="O31" i="9" s="1"/>
  <c r="H31" i="9"/>
  <c r="N31" i="9" s="1"/>
  <c r="G31" i="9"/>
  <c r="M31" i="9" s="1"/>
  <c r="J28" i="9"/>
  <c r="P28" i="9" s="1"/>
  <c r="I28" i="9"/>
  <c r="O28" i="9" s="1"/>
  <c r="H28" i="9"/>
  <c r="N28" i="9" s="1"/>
  <c r="G28" i="9"/>
  <c r="M28" i="9" s="1"/>
  <c r="J25" i="9"/>
  <c r="P25" i="9" s="1"/>
  <c r="I25" i="9"/>
  <c r="O25" i="9" s="1"/>
  <c r="H25" i="9"/>
  <c r="N25" i="9" s="1"/>
  <c r="G25" i="9"/>
  <c r="M25" i="9" s="1"/>
  <c r="J23" i="9"/>
  <c r="P23" i="9" s="1"/>
  <c r="I23" i="9"/>
  <c r="O23" i="9" s="1"/>
  <c r="H23" i="9"/>
  <c r="N23" i="9" s="1"/>
  <c r="G23" i="9"/>
  <c r="M23" i="9" s="1"/>
  <c r="J22" i="9"/>
  <c r="P22" i="9" s="1"/>
  <c r="I22" i="9"/>
  <c r="O22" i="9" s="1"/>
  <c r="H22" i="9"/>
  <c r="N22" i="9" s="1"/>
  <c r="G22" i="9"/>
  <c r="M22" i="9" s="1"/>
  <c r="J21" i="9"/>
  <c r="P21" i="9" s="1"/>
  <c r="I21" i="9"/>
  <c r="O21" i="9" s="1"/>
  <c r="H21" i="9"/>
  <c r="N21" i="9" s="1"/>
  <c r="G21" i="9"/>
  <c r="M21" i="9" s="1"/>
  <c r="J20" i="9"/>
  <c r="P20" i="9" s="1"/>
  <c r="I20" i="9"/>
  <c r="O20" i="9" s="1"/>
  <c r="H20" i="9"/>
  <c r="N20" i="9" s="1"/>
  <c r="G20" i="9"/>
  <c r="M20" i="9" s="1"/>
  <c r="J19" i="9"/>
  <c r="P19" i="9" s="1"/>
  <c r="I19" i="9"/>
  <c r="O19" i="9" s="1"/>
  <c r="H19" i="9"/>
  <c r="N19" i="9" s="1"/>
  <c r="G19" i="9"/>
  <c r="M19" i="9" s="1"/>
  <c r="J18" i="9"/>
  <c r="P18" i="9" s="1"/>
  <c r="I18" i="9"/>
  <c r="O18" i="9" s="1"/>
  <c r="H18" i="9"/>
  <c r="N18" i="9" s="1"/>
  <c r="G18" i="9"/>
  <c r="M18" i="9" s="1"/>
  <c r="J17" i="9"/>
  <c r="P17" i="9" s="1"/>
  <c r="I17" i="9"/>
  <c r="O17" i="9" s="1"/>
  <c r="H17" i="9"/>
  <c r="N17" i="9" s="1"/>
  <c r="G17" i="9"/>
  <c r="M17" i="9" s="1"/>
  <c r="J12" i="9"/>
  <c r="P12" i="9" s="1"/>
  <c r="I12" i="9"/>
  <c r="O12" i="9" s="1"/>
  <c r="H12" i="9"/>
  <c r="N12" i="9" s="1"/>
  <c r="G12" i="9"/>
  <c r="M12" i="9" s="1"/>
  <c r="O11" i="9"/>
  <c r="M11" i="9"/>
  <c r="J7" i="9"/>
  <c r="P7" i="9" s="1"/>
  <c r="I7" i="9"/>
  <c r="O7" i="9" s="1"/>
  <c r="J6" i="9"/>
  <c r="P6" i="9" s="1"/>
  <c r="I6" i="9"/>
  <c r="O6" i="9" s="1"/>
  <c r="J5" i="9"/>
  <c r="P5" i="9" s="1"/>
  <c r="I5" i="9"/>
  <c r="O5" i="9" s="1"/>
  <c r="M3" i="9" l="1"/>
  <c r="N3" i="9"/>
  <c r="P131" i="9" l="1"/>
  <c r="O131" i="9"/>
  <c r="N131" i="9"/>
  <c r="N189" i="9" s="1"/>
  <c r="M131" i="9"/>
  <c r="M189" i="9" s="1"/>
  <c r="J4" i="9" l="1"/>
  <c r="P4" i="9" s="1"/>
  <c r="P3" i="9" s="1"/>
  <c r="P189" i="9" s="1"/>
  <c r="I4" i="9"/>
  <c r="O4" i="9" s="1"/>
  <c r="O3" i="9" s="1"/>
  <c r="O189" i="9" s="1"/>
  <c r="L4" i="9"/>
  <c r="L3" i="9" s="1"/>
  <c r="L189" i="9" s="1"/>
</calcChain>
</file>

<file path=xl/sharedStrings.xml><?xml version="1.0" encoding="utf-8"?>
<sst xmlns="http://schemas.openxmlformats.org/spreadsheetml/2006/main" count="16800" uniqueCount="4884">
  <si>
    <t>Т.р.</t>
  </si>
  <si>
    <t>Ўлчов бирлиги</t>
  </si>
  <si>
    <t>Харид ўтказиладиган чорак</t>
  </si>
  <si>
    <t>1-чорак</t>
  </si>
  <si>
    <t>2-чорак</t>
  </si>
  <si>
    <t>3-чорак</t>
  </si>
  <si>
    <t>4-чорак</t>
  </si>
  <si>
    <t xml:space="preserve">Автоматический выключатель </t>
  </si>
  <si>
    <t>Это автоматически управляемый электрический выключатель, предназначенный для защиты электрической цепи от повреждений, вызванных избыточным током от перегрузки или короткого замыкания.</t>
  </si>
  <si>
    <t>Контакторы (разные)</t>
  </si>
  <si>
    <t>Двухпозиционный электромагнитный аппарат, предназначенный для частых дистанционных включений и выключений силовых электрических цепей в нормальном режиме работы.</t>
  </si>
  <si>
    <t>Контактор КТИ</t>
  </si>
  <si>
    <t>Контактор</t>
  </si>
  <si>
    <t xml:space="preserve">Контактор КТ </t>
  </si>
  <si>
    <t>Контактор КТ</t>
  </si>
  <si>
    <t>Магнитный пускатель (разное)</t>
  </si>
  <si>
    <t>Предназначен для пуска, остановки, реверсирования и защиты электродвигателя.Магнитный пускатель состоит из контактора, кнопочного поста и теплового реле</t>
  </si>
  <si>
    <t>Магнитный пускатель</t>
  </si>
  <si>
    <t>Диэлектрические защитные средства (разные)</t>
  </si>
  <si>
    <t>Диэлектрические средства защиты – это средства, защищающие  работающих от поражения электрическим током, к ним относятся: диэлектрические перчатки, галоши, боты и коврики. Они изготовляются из резины специального состава, обладающей высокой электрической прочностью и хорошей эластичностью. </t>
  </si>
  <si>
    <t xml:space="preserve">Диэлектрические перчатки </t>
  </si>
  <si>
    <t>пар</t>
  </si>
  <si>
    <t xml:space="preserve">Диэлектрические коврик </t>
  </si>
  <si>
    <t>Монтажный пояс</t>
  </si>
  <si>
    <t>Переносное заземления</t>
  </si>
  <si>
    <t>Изолента ПВХ</t>
  </si>
  <si>
    <t>Выдерживает ток высокого напряжения до 5000 В – обеспечивает безопасность работы приборов. Данная информация скопирована со страницы: ширина 19мм, длина 9,1 м; Артикул Р-0248295</t>
  </si>
  <si>
    <t>кг</t>
  </si>
  <si>
    <t>Расходный материяал</t>
  </si>
  <si>
    <t>Трансформаторы измерителные, понижающие. (разные)</t>
  </si>
  <si>
    <t xml:space="preserve">Трансформатор тока </t>
  </si>
  <si>
    <t>Чатотные преоброзователи. (разные)</t>
  </si>
  <si>
    <t xml:space="preserve">Электротехническое оборудование для регулирования частоты переменного напряжения.Частотный преобразователь с ШИМ представляет собой инвертор с двойным преобразованием напряжения. Сначала сетевое напряжение 220 или 380 В выпрямляется входным диодным мостом, затем сглаживается и фильтруется с помощью конденсаторов. Частотный преобразователь дает экономию по потреблению энергии </t>
  </si>
  <si>
    <t xml:space="preserve">Частотный преобразователь                   </t>
  </si>
  <si>
    <t>Для электрического компрессора мошностью 130кВт Гисар ПГРЭ. Для плавного пуска и защиты от перенапряжения</t>
  </si>
  <si>
    <t>РЕЛЕ (разное)</t>
  </si>
  <si>
    <t>Коммутационное устройство (КУ), соединяющее или разъединяющее цепь электронной или электрической схемы при изменении входных величин тока.</t>
  </si>
  <si>
    <t>Фотореле LX-P01 6A Детектор освещенности используется для автоматического включения и выключения источников света в зависимости от уровня природной освещенности, автоматического освещения улиц, дорог, площадей.</t>
  </si>
  <si>
    <t xml:space="preserve">Внедрение реле в целях экономии электроэнергии. </t>
  </si>
  <si>
    <t>Реле контроля фаз Delixi JD-5 1-100AРеле контроля фаз Delixi защищает линейные цепи от перегрузок и короткого замыкания. Устройство контролирует питающее напряжение и порядок чередования фаз, реагирует на перекос по отдельным фазам, выявляет обрыв фазы и несимметричность трёхфазного напряжения.</t>
  </si>
  <si>
    <t xml:space="preserve"> Требуется установка и внедрение в экспедициях  для защиты оборудования от перенапряжения.</t>
  </si>
  <si>
    <t>Реле OMRON MY4IN с цоколем 220/240VAC(S).Ток контактов макс.5АPYF14A-EКонтакты4PDT Нагрузка контакта DC @R 5A / 24В DC Серия реле MY4 Производитель OMRON Сопротивление контактов 100мОм Характеристики реле кнопка проверки с блокировкой.Ток обмотки 5,3мАРабочая температура-55...70°CНагрузка контакта AC.5A / 220В AC; Мощность, потребляемая обмоткой1,2ВА.Коммутируемое напряжение макс. 250В AC</t>
  </si>
  <si>
    <t xml:space="preserve">Для защиты от перепадов, перебоев напряжения. Требуется установка в экспедициях где имеется дробильное оборудование </t>
  </si>
  <si>
    <t>Рудничое, шахтное электрооборудование</t>
  </si>
  <si>
    <t>электрооборудование, предназначенное для подземных выработок шахт и рудников, в которых могут образоваться взрывоопасные газо-, паро- или пылевоздушные смеси в опасных концентрациях.</t>
  </si>
  <si>
    <t>Рудничный выключатель типа ВРН</t>
  </si>
  <si>
    <t>Автоматический фидерный выключатель АФВ</t>
  </si>
  <si>
    <t>Ящик силовой с рубильником ЯРВ-6123 (РПБ) 250А с ПН-2 Характеристика шита номинальной ток: 250Астепень зашиты: ИП54 Номинал напряжение: 380В;Частотаси: 50Гц;Общие В.Д.Ш.от 400х300х220 мм до 1200х800х600 мм .</t>
  </si>
  <si>
    <t>Энергетические инструменты (разные)</t>
  </si>
  <si>
    <t>Это особые вымышленные конструкции, призванные наделять энергетические действия силой конкретного намерения. Работа с ними значительно усиливает эффект энергетического воздействия</t>
  </si>
  <si>
    <t>Лазы ЖБ опор</t>
  </si>
  <si>
    <t>Когти монтерские (по дереву)</t>
  </si>
  <si>
    <t>Когти монтерские предназначены для подъема на деревянные и деревянные с ж/б приставками опоры линий электропередач, а также на опоры линии связи и работы на них. Серп выполнен из котельной трубы, шипы выполнены из инструментальной стали, закаленные. В комплекте с ремнями кожаными. ТУ 5221-001-99107660-2010Диаметр опор: 310-415 мм Масса когтей с ремнями: не более 4,5 кг</t>
  </si>
  <si>
    <t>Указатель высокого напряжения</t>
  </si>
  <si>
    <t>УВН-10Кв Параметр Значение Напряжение (порог) срабатывания указателя, В, не выше 1500 Максимальное рабочее напряжение, кВ 10; Метод измерения контактный</t>
  </si>
  <si>
    <t>Измерительные приборы</t>
  </si>
  <si>
    <t>Применяемых для измерения различных электрических величин. </t>
  </si>
  <si>
    <t>Счётчик воды</t>
  </si>
  <si>
    <t>Светильники, Прожекторы, LED панел, LED лампы</t>
  </si>
  <si>
    <t xml:space="preserve">Предназначены для освещения территории –  производственной и складской и т.п. </t>
  </si>
  <si>
    <t xml:space="preserve">Светильник </t>
  </si>
  <si>
    <t xml:space="preserve"> LED-прожекторы </t>
  </si>
  <si>
    <t>Наконечники (разные)</t>
  </si>
  <si>
    <t xml:space="preserve"> Предназначены для оконцевания опрессовкой  кабелей и проводов; </t>
  </si>
  <si>
    <t>Наконечник кабельный медный</t>
  </si>
  <si>
    <t>Наконечник алюминиевый</t>
  </si>
  <si>
    <t>Силовой кабель (разные)</t>
  </si>
  <si>
    <t>Предназначены для передачи и распределения электрической энергии в стационарных установках на номинальное переменное напряжение 10 кВ номинальной частотой 50 Гц для сетей с заземленной и изолированной нейтралью; Материал жилы: алюминий. Материал оболочки: полиэтилен</t>
  </si>
  <si>
    <t>метр</t>
  </si>
  <si>
    <t xml:space="preserve">Кабель КГ 3 * 50 + 1 * 25 </t>
  </si>
  <si>
    <t xml:space="preserve">Кабел АВВГ 3х35+1х16 </t>
  </si>
  <si>
    <t>Кабель АВБбШв 3х70+1х35</t>
  </si>
  <si>
    <t>Кабель АПвЭПУ 3*95 /16-10</t>
  </si>
  <si>
    <t>Кабель АПвЭПу 3х95/16  предназначены для передачи и распределения электрической энергии в стационарных установках на номинальное переменное напряжение 10 кВ номинальной частотой 50 Гц для сетей с заземленной и изолированной нейтралью; Материал жилы: алюминий. Материал оболочки: полиэтилен</t>
  </si>
  <si>
    <t>Провода изолированые (разные)</t>
  </si>
  <si>
    <t>Предназначенного для передачи и распределения электрической энергии силовых и осветительных сетях напряжением от 0,6/1 кВ</t>
  </si>
  <si>
    <t>Провод АППВ 2*2,5</t>
  </si>
  <si>
    <t>Две одно проволочные алюминиевые токопроводящие жилы номинальным сечением 2,5 мм2, соответствующие 1 классу по ГОСТ 22483-2012. Изоляция из ПВХ пластиката номинальной толщиной 0,8 мм. Токопроводящие жилы уложены параллельно в одной плоскости с разделительным основанием между ними номинальной шириной 1,0 мм и номинальной толщиной 0,5 мм.</t>
  </si>
  <si>
    <t>Провод ПВС 3х2,5</t>
  </si>
  <si>
    <t> Три многопроволочные медные или медные лужёные токопроводящие жилы, соответствующие 5 классу по ГОСТ 22483-2012, номинальным сечением 2,5 мм2. Номинальное переменное напряжение 380 В частотой 50 Гц; Номинальная токовая нагрузка не более 25 А</t>
  </si>
  <si>
    <t>Провод ПУГНП 2х2,5</t>
  </si>
  <si>
    <t> Две многопроволочные медные токопроводящие жилы номинальным сечением 2,5 мм2, конструктивно соответствующие не менее чем 2 классу по ГОСТ 22483-2012 ; Изоляция из ПВХ пластиката номинальной толщиной 0,3 мм.; Номинальное переменное напряжение 250 В частотой 50 Гц; Испытательное напряжение изоляции на проход 2000 В.Сопротивление жил при 20 °С не более 10,9 Ом/км</t>
  </si>
  <si>
    <t xml:space="preserve">Для замены не пригодных монтажных проводов на участках, обеъктах и цехах экспедиции. </t>
  </si>
  <si>
    <t>Провод ПВС 4х6</t>
  </si>
  <si>
    <t>Конструкция провода ПВС 4х6 - 0,38кВ;етыре токопроводящих жилы из медной или медной луженой проволки (3 фазы + ноль);Изоляция из ПВХ пластиката;</t>
  </si>
  <si>
    <t>Провод ПВС 4х10</t>
  </si>
  <si>
    <t>Конструкция провода ПВС 4х10 - 0,38кВ; Четыре токопроводящих жилы из медной или медной луженой проволки (3 фазы + ноль); Изоляция из ПВХ пластиката;3. Оболочка из ПВХ пластиката.</t>
  </si>
  <si>
    <t>Провод неизолированый (разные)</t>
  </si>
  <si>
    <t xml:space="preserve">Предназначенного для передачи и распределения электрической энергии в воздушных линии электропередачи </t>
  </si>
  <si>
    <t>тн</t>
  </si>
  <si>
    <t>Провода сталеалюминиевого АС 35/6,2</t>
  </si>
  <si>
    <t>Провод алюминиевый неизолированный А 35</t>
  </si>
  <si>
    <t>Провод алюминиевый неизолированный А 25</t>
  </si>
  <si>
    <t>Опоры, Траверсы, Изоляторы, Крюки, Хомуты -</t>
  </si>
  <si>
    <t>пора воздушной линии электропередачи (опора ЛЭП) — сооружение для удержания проводов и при наличии</t>
  </si>
  <si>
    <t>Используется для деревянных опор</t>
  </si>
  <si>
    <t>Изоляторы ШФ-10 предназначены для изоляции и крепления неизолированных проводов на воздушных линиях электропередач и в распределительных устройствах электростанций и подстанций переменного тока напряжением 6 и 10 кВ частотой до 100 Гц. Эксплуатируются при температуре окружающего воздуха от -60 до +50°С.</t>
  </si>
  <si>
    <t xml:space="preserve">Траверс ТМ -1 </t>
  </si>
  <si>
    <t xml:space="preserve">Комплект к опорам СВ 110  </t>
  </si>
  <si>
    <t>Хомут для СВ-110</t>
  </si>
  <si>
    <t xml:space="preserve">Опора ж/б  СВ-110  </t>
  </si>
  <si>
    <t>Электродвигатели (разные)</t>
  </si>
  <si>
    <t>электрическая машина (электромеханический преобразователь), в которой электрическая энергия, посредством магнитного поля, преобразуется в механическую.</t>
  </si>
  <si>
    <t>Станки, Аппараты, Генераторы</t>
  </si>
  <si>
    <t>Технологическая машина, предназначенная для обработки материалов с целью получения заготовок или готовых изделий либо для получения новых материалов из сырья;  электрическая машина, преобразующая механическую энергию в электрическую энергию переменного тока.</t>
  </si>
  <si>
    <t>Масляный обогреватель EMERLAND 13 секций Количеество секций: 13 штук Возможности обогревателя: турбо переключатель; регулятор мощности; регулятор термостата; встроенный тепловентилятор. Габариты обогреателя: 635Х175х685 Комплектация : сушилка
Мощность : 3000 Вт Тип оборудования: масляный    обогреватель Управление обогревателем: механическое Площадь обогрева масляного обогревателя составляет 35- 40 квадратных метров. Вес обогревателя: 16,9 кг</t>
  </si>
  <si>
    <t xml:space="preserve">Задвижки чугунные  </t>
  </si>
  <si>
    <t>Выполняют функцию запирающих устройств, позволяют перекрывать либо освобождать поток жидкой и воздушной сред. Изделия применяются в трубопроводных комплексах по переводу пара, нефтепродуктов, воды и т.д. </t>
  </si>
  <si>
    <t>Задвижка чугунный</t>
  </si>
  <si>
    <t>Вентиль чугунный</t>
  </si>
  <si>
    <t>Кран полипропиленовый</t>
  </si>
  <si>
    <t>Кран шаровой полипропиленовый</t>
  </si>
  <si>
    <t>Полиэтиленовые трубы представляют собой современные пластиковые полимерные трубы. При производстве таких труб применяется полиэтилен низкого давления.  Полиэтиленовая труба находит своё применение в инженерных системах для питьевого и технического водоснабжения, в системах канализации и дренажа, в водопроводах и других различных трубопроводах, которые транспортируют любые жидкие вещества, к которым трубы из полиэтилена имеют химическую стойкость.</t>
  </si>
  <si>
    <t>Уголь</t>
  </si>
  <si>
    <t xml:space="preserve">Вид  твёрдое топливо, используемое в целях отопление бытовых и производственных  помещении; Уголь марка 2БР; фракция 0-300мм </t>
  </si>
  <si>
    <t>Согласно программы ОЗП</t>
  </si>
  <si>
    <t xml:space="preserve">Кондесаторное устройство </t>
  </si>
  <si>
    <t>Согласно гос программы по сножению реактивного энергию требуется внедрения УКМ устройств</t>
  </si>
  <si>
    <t>Высоковольтное оборудования, зап. Части.</t>
  </si>
  <si>
    <t>вид электрических устройств и механизмов, выполняющих коммутацию, преобразование, а также распределение электроэнергии с высокой величиной напряжения, выше 1000 Вольт. Некоторое такое оборудование применяется для проверки электрической прочности силового электрооборудования.</t>
  </si>
  <si>
    <t>Высоковольтный предохранитель</t>
  </si>
  <si>
    <t>Перекидной рубильник</t>
  </si>
  <si>
    <t>Коробка соединительная рудничная типа</t>
  </si>
  <si>
    <t>Подгодовка к ОЗП</t>
  </si>
  <si>
    <t>ФОЛЬГОИЗОЛ -  представляет собой рулонный материал, который состоит из тонкой алюминиевой рифленой фольги, с нижней стороны покрытой слоем битумно-полимерного либо битумно-резинового вяжущего. В состав используемого битумного вяжущего входит битум, резина либо каучук с антисептиком и минеральным наполнителем. Фольгоизол широко используется в качестве защитного слоя при изоляции трубопроводов, теплотрасс, внутренних и внешних водопроводных систе</t>
  </si>
  <si>
    <t>Фольгированный утеплитель - универсальный материал, применяемый абсолютно везде. Однако, в зависимости от вида поверхности, установка материала отличается. В данной статье мы расскажем о нюансах монтажа, а также о решениях проблем, с которыми может столкнуться новичок.</t>
  </si>
  <si>
    <t>дона</t>
  </si>
  <si>
    <t>рулон</t>
  </si>
  <si>
    <t>Қизилқум ДГҚЭ</t>
  </si>
  <si>
    <t>Даугизтау ДГҚЭ</t>
  </si>
  <si>
    <t>Кўупатас ДГҚЭ</t>
  </si>
  <si>
    <t>Ҳисор  ДГҚЭ</t>
  </si>
  <si>
    <t>Сурхон ДГҚЭ</t>
  </si>
  <si>
    <t>Зарафшон ДГҚЭ</t>
  </si>
  <si>
    <t>Шимолий Нурота ДГҚЭ</t>
  </si>
  <si>
    <t>Зармитан ДГҚЭ</t>
  </si>
  <si>
    <t>Шарқий Қурама ДГҚЭ</t>
  </si>
  <si>
    <t>Олмклиқ  ДГҚЭ</t>
  </si>
  <si>
    <t>Марказий Лаборатория</t>
  </si>
  <si>
    <t>МИЧБ</t>
  </si>
  <si>
    <r>
      <t xml:space="preserve">Диэлектрические перчатки резиновые используются в качестве основного средства защиты от поражения высоким напряжением до и вышее 1 кВ. Выполнены из листовой резины методом штанцевания, по этому они могут ещё называться диэлектрические перчатки штанцованные. По отношению к бесшовным перчаткам, они более тонкие и более удобные для работы с мелкими деталями и инструментами.  </t>
    </r>
    <r>
      <rPr>
        <b/>
        <sz val="12"/>
        <rFont val="Times New Roman"/>
        <family val="1"/>
        <charset val="204"/>
      </rPr>
      <t xml:space="preserve">ЭВ-350 мм, </t>
    </r>
    <r>
      <rPr>
        <sz val="12"/>
        <rFont val="Times New Roman"/>
        <family val="1"/>
        <charset val="204"/>
      </rPr>
      <t>ТУ-38305-05-257-89, Артикул- П-0213082</t>
    </r>
  </si>
  <si>
    <r>
      <t xml:space="preserve">Диэлектрический резиновый коврик МЕРИОН, </t>
    </r>
    <r>
      <rPr>
        <b/>
        <sz val="12"/>
        <rFont val="Times New Roman"/>
        <family val="1"/>
        <charset val="204"/>
      </rPr>
      <t>500х500х6 мм, черный, КОВ404</t>
    </r>
    <r>
      <rPr>
        <sz val="12"/>
        <rFont val="Times New Roman"/>
        <family val="1"/>
        <charset val="204"/>
      </rPr>
      <t xml:space="preserve"> предназначен для защиты от возможного поражения электрическим током.   Толщина: 6±1 мм; Защитные свойства: Эн, Эв; Температурный режим эксплуатации: от -15 до +40 0С; Нормативно-техническая документация: ГОСТ 4997-75 Размер 500*500*5</t>
    </r>
  </si>
  <si>
    <r>
      <t xml:space="preserve">Светильник </t>
    </r>
    <r>
      <rPr>
        <b/>
        <sz val="12"/>
        <rFont val="Times New Roman"/>
        <family val="1"/>
        <charset val="204"/>
      </rPr>
      <t>RKU COBRA LED COB LE042B 100W 6000K1;</t>
    </r>
    <r>
      <rPr>
        <sz val="12"/>
        <rFont val="Times New Roman"/>
        <family val="1"/>
        <charset val="204"/>
      </rPr>
      <t>Уличные светильники РКУ (LED) Предназначение: Освещение улиц, автостоянок, площадей и других открытых общественных мест.</t>
    </r>
  </si>
  <si>
    <r>
      <t xml:space="preserve">Солнечный прожектор Solar RKU2 </t>
    </r>
    <r>
      <rPr>
        <b/>
        <sz val="12"/>
        <rFont val="Times New Roman"/>
        <family val="1"/>
        <charset val="204"/>
      </rPr>
      <t>150W</t>
    </r>
    <r>
      <rPr>
        <sz val="12"/>
        <rFont val="Times New Roman"/>
        <family val="1"/>
        <charset val="204"/>
      </rPr>
      <t>. Не требует электротока и не требует монтажа электропроводки.Позволяет экономить электроэнергию, не потребляя электричество из сети.Резервное питание до 8 часов</t>
    </r>
  </si>
  <si>
    <r>
      <rPr>
        <b/>
        <sz val="12"/>
        <rFont val="Times New Roman"/>
        <family val="1"/>
        <charset val="204"/>
      </rPr>
      <t>AK-FLD 100W "AKFA LIGHTING"</t>
    </r>
    <r>
      <rPr>
        <sz val="12"/>
        <rFont val="Times New Roman"/>
        <family val="1"/>
        <charset val="204"/>
      </rPr>
      <t xml:space="preserve"> Характеристики: Мощность: 100В;Цветовая температура: 6500 K Напряжение: 120-250 V Степень защиты: IP 65 Частота: 50-60 Hz Световой поток: 9000-10500 Lm Эффективность: 60-70 Lm/W </t>
    </r>
  </si>
  <si>
    <r>
      <t>Калорифер</t>
    </r>
    <r>
      <rPr>
        <b/>
        <sz val="12"/>
        <rFont val="Times New Roman"/>
        <family val="1"/>
        <charset val="204"/>
      </rPr>
      <t xml:space="preserve"> 15квт 380в</t>
    </r>
    <r>
      <rPr>
        <sz val="12"/>
        <rFont val="Times New Roman"/>
        <family val="1"/>
        <charset val="204"/>
      </rPr>
      <t xml:space="preserve"> Ремонт и строительство на сегодняшний день становятся очень популярными, но для качественного выполнения работы необходимо иметь не менее качественные инструменты и приборы. Наша компания предлагает широкий ассортимент строительных инструментов и аппаратов по приятным ценам. </t>
    </r>
  </si>
  <si>
    <t>Қизилқум МГҚЭ</t>
  </si>
  <si>
    <t>Ҳисор  МГҚЭ</t>
  </si>
  <si>
    <t>Самарканд МГҚЭ</t>
  </si>
  <si>
    <t>Тошкент МГҚЭ</t>
  </si>
  <si>
    <t xml:space="preserve">АУКРМ 04-150 раб.напряжения 400-440В, частота 50 гц, ном.напряжения 5-2000 квар Гост МЭК 60439 IP31/IP54 Артикул Р-0193005 </t>
  </si>
  <si>
    <t xml:space="preserve">Трансформатор напряжения ЗНОЛ.06-10 кВ </t>
  </si>
  <si>
    <t xml:space="preserve">Трехфазный счетчик электроэнергии TE-73 S-G-1-0 U 5(7,5)A Класс точности при измерении - активной энергии;   - реактивной энергии; 0,5S или 1,0  1,0 или 2,0; Номинальное напряжение, - 100В ;Номинальный(макс) ток, 5(7,5) А; </t>
  </si>
  <si>
    <t xml:space="preserve">Трехфазный счётчик электроэнергии TE-73 S-G -1-3 5-10A;  Фазы -3; Вольт - 380В;  Подключения АСКУЭ -да; </t>
  </si>
  <si>
    <t>Счётчик воды Quvvat Ultramer-50 Счетчик холодной и горячей воды турбинный Ултрамер-50 предназначен для измерения объема холодной и горячей питьевой воды протекающей в системах холодного и горячего водоснабжения при температуре от +5 до +90°С и давлении до 1,0 МПа (10 кгс/см2). Артикул 20002008 , 5-90 c , 50 мм гост 50601-93</t>
  </si>
  <si>
    <t>Счётчик воды Quvvat Ultramer-32 Счетчик холодной и горячей воды турбинный Ultramer-32 предназначен для измерения объема холодной и горячей питьевой воды протекающей в системах холодного и горячего водоснабжения при температуре от +5 до +90°С и давлении до 1,0 МПа (10 кгс/см2). Артикул 20002008 , 5-90 c , 50 мм гост 50601-93</t>
  </si>
  <si>
    <t xml:space="preserve">24 Волть 30 ватт AK-FLD 100W "AKFA LIGHTING" Характеристики: Мощность: 100Вт;Цветовая температура: 6500 K Напряжение: 12-80 V Степень защиты: IP 65 Частота: 50-60 Hz Световой поток: 9000-10500 Lm Эффективность: 60-70 Lm/W </t>
  </si>
  <si>
    <t>Катушка IEK УК30 с т/з 4 места 2Р+PЕ/30метров 3х1,5мм2 IP44 "Industrial plus"</t>
  </si>
  <si>
    <t>При помощи удлинителя на катушке легко подключить удаленное на расстояние до 30 м от стационарной розетки электрооборудование. Незаменимы на строительной площадке, в малом бизнесе, в промышленности.Тепловое реле защищает от превышения максимально допустимой подключаемой нагрузки.Оснащен кабелем или проводом   ПВС/H05VV.  Поперечное сечение жилы, mm  21.5.  Количество жил 3.  Материал корпуса  пластик.   Бренд  IEK.</t>
  </si>
  <si>
    <t>Предназначенный для измерения и контроля (например, в системах релейной защиты сетей)  напряжения,  тока или фазы электрического сигнала переменного тока промышленной частоты   (50 или 60 Гц) в контролируемой цепи.</t>
  </si>
  <si>
    <t>В экспедициях эксплуатируется трансфоратора тока кол-во 26 комп. Из них не исправном состояние 8 комп, требуется замена; Требуется по этапное внедрения новых модификации ТТИ -150/5, 250/5 и 400/5 кол-во 18 комп.Для резерва необходимо 6 комп.</t>
  </si>
  <si>
    <t>Для электрического компрессора мошностью 75кВт Сурхан ПГРЭ, для Ц.Л. (ингичка) дроб цеха. Для плавного пуска и защиты от перенапряжения</t>
  </si>
  <si>
    <t>Шахты и штольни;  Хисор ЦГРЭ -4ед, Самарканд ЦГРЭ - 2ед, и ТошкентЦГРЭ -4ед. Всего 15 ед. общая проходка на 2024г состовляет 6310 п/м.  На  данный период задействованы 14 шт АФВ-3 из них 4 шт АФВ работают не стабильно и с перебоями,  требуется их замена.Для резерва необходимо 4 ед.</t>
  </si>
  <si>
    <t>Для установки гидрофицированных буровых агрегатов</t>
  </si>
  <si>
    <t>За требовано на шахтах  ЦПГРЭ для резерва, в целях оперативном замене  неисправных насосос во избежание простоев.</t>
  </si>
  <si>
    <t xml:space="preserve">В следующих экспедициях затребовали  маслянный обогреватель для утепления вагонов и сушки одежд в влажных условиях. </t>
  </si>
  <si>
    <t xml:space="preserve">Согласно заявкам Самарканд ЦПГРЭ  Ø25-400м. Тошкент ЦПРЭ 2000 м. Для протяжки с админ.здания до холодной воды. Ц.Л. Для подачи тех воды до лобаротории </t>
  </si>
  <si>
    <t>Затребованно для штольни и шахт Самарканд ЦПГРЭ, Гиссар ЦПГРЭ для кабельных соединении данной переуд требуется замена не пригодных КСР-6 в количестве 2-шт, и дальнейших установки новых. Для резерва  требуется 2-шт.</t>
  </si>
  <si>
    <t>Пускатель рудничный</t>
  </si>
  <si>
    <t>Пускатель рудничный прямого пуска ПРН 250А в рудничном нормальном исполнении с маркировкой РН2, нереверсивный предназначен для работы в трехфазных сетях переменного тока с изолированной нейтралью трансформатора в условиях рудников и шахт, а также других предприятий горнорудной промышленности</t>
  </si>
  <si>
    <t xml:space="preserve">Трансформатора ТСЗИ </t>
  </si>
  <si>
    <t xml:space="preserve">Реле контроля фаз  </t>
  </si>
  <si>
    <t xml:space="preserve">Фотореле      </t>
  </si>
  <si>
    <t xml:space="preserve">Мегомметр   </t>
  </si>
  <si>
    <t xml:space="preserve">Изолятор ИПУ 10 кВ </t>
  </si>
  <si>
    <t>Изолятор ШФ-10 1700</t>
  </si>
  <si>
    <t>Масляный обогреватель 16</t>
  </si>
  <si>
    <t xml:space="preserve">Трансформаторы напряжения </t>
  </si>
  <si>
    <t xml:space="preserve">Трансформатор ОСО </t>
  </si>
  <si>
    <t xml:space="preserve">Частотный преобразователь           </t>
  </si>
  <si>
    <t xml:space="preserve">Частотный преобразователь                 </t>
  </si>
  <si>
    <t xml:space="preserve">Частотный преобразователь                  </t>
  </si>
  <si>
    <t xml:space="preserve">Частотный преобразователь              </t>
  </si>
  <si>
    <t xml:space="preserve">Реле токовое   </t>
  </si>
  <si>
    <t xml:space="preserve">Ящик силовой с рубильником   </t>
  </si>
  <si>
    <t xml:space="preserve">Солнечный прожектор </t>
  </si>
  <si>
    <t xml:space="preserve">Для освещения буровых площадках,шахт и штольнях в экспедициях </t>
  </si>
  <si>
    <t xml:space="preserve">Кабел КГ 3х95*1х35 </t>
  </si>
  <si>
    <t xml:space="preserve">Кабел  КГ 3*35+1*16  </t>
  </si>
  <si>
    <t xml:space="preserve">Кабел  КГ 3*25+1*10 </t>
  </si>
  <si>
    <t>Кабель КГ 3 * 70 + 1 * 25</t>
  </si>
  <si>
    <t xml:space="preserve">Кабель гибкий КГ 1х10 </t>
  </si>
  <si>
    <t xml:space="preserve">Требуется замена питающих кабелей от трансформатора до жил вагона растояния 15-25 метров. А также для Штольни Чакмоктош </t>
  </si>
  <si>
    <t>Крюк КН-22</t>
  </si>
  <si>
    <t>В экспедициях имеется ЛЭП 6-10кВ обшая протяжонностью 112 км. На 112км  установлены 6720 шт изоляторов ШФ-10. Часть этих изоляторов пришли негодность 196 шт. требуется замена. Также ожидается строительство передвежных ЛЭП протяжёностью 41,6  км.41600/50*3=2496                                  .</t>
  </si>
  <si>
    <t>Центробежный консольный насос</t>
  </si>
  <si>
    <t>По заявкам Самарканд ЦПГРЭ перекачивания техничоской воды с шахт для буровых агрегатов во избежание простоев.</t>
  </si>
  <si>
    <t xml:space="preserve">Электродвигатель </t>
  </si>
  <si>
    <t xml:space="preserve">Насос погружной скважинный   </t>
  </si>
  <si>
    <t xml:space="preserve">Калорифер 15квт 380в  </t>
  </si>
  <si>
    <t>Кран шаровой стальной муфтовый LD КШЦМ Ду80</t>
  </si>
  <si>
    <t xml:space="preserve">Согласно заявкам Зармитан ПЭ ПНД Ø32-200м. Ш. Курама 2000 метров Для протяжки с  водной уч. до бур плошадки.  </t>
  </si>
  <si>
    <t xml:space="preserve">Для замены монтажных проводов, на тепляках и жил вагонах. Кол-во эл.буровых установках  35 ед. На каждую буравую потрачено около 50-60  метров мантажного провода атакже Ц.Л. ведутся монтажные работы 350 метров. На данной момент часть монтажных проводов требует замены. Планируется замена 2350 метров непригодная части монтажных проводов. Для резерва 650метров.   </t>
  </si>
  <si>
    <t xml:space="preserve">Разъединитель </t>
  </si>
  <si>
    <t xml:space="preserve">Соединительная кабельная муфта    </t>
  </si>
  <si>
    <t>Затребованно для штольни и шахт Гиссар ЦПГРЭ и Самаркандской  ЦПГРЭ для кабельных соединении данной переуд требуется замена не пригодных КРН 250 в количестве 9-шт, а также новые штодьни Ш.Курама ПЭ 5 шт. Для резерва требуется  6 шт.</t>
  </si>
  <si>
    <t xml:space="preserve">Коробки разветвлительные КРН 250      </t>
  </si>
  <si>
    <t>Штольни №7 Гиссаркой ПЭ для проходки горных работ, вентиляции СВМ-6 5-шт (22кВт) и буровых работ ханжин 10 (55кВт) 300 м. а также замена устаревшего кабеля в Ш.Кураминской ПЭ лабораторной здании и установки новой муфильной печи 5-шт (20 кВт) а также проходки штольнии всего 600 м. Зармитанской ПЭ на уч гужумсой установка бур агрегата 300 м. Кизилкумской ПЭ замена старого кабеля от тр-р 400/6 до здании 300 м</t>
  </si>
  <si>
    <t xml:space="preserve">В каждой экспедиции на участках, цехах и обеъктах  имеется около 20-25 ед. прожекторов. Общее количество прожекторов подразделениях составляет 250-300 ед. Срок эксплуатации прожекторов не горантирован из-за чего многие прожекторы сгарают не отрабатывает свой ресурс. Данной момент требуется заменить 36 ед. сгоревших прожекторов, а также дополнительные новые установки 42шт. Для резерва требуется 56 шт. по этапной замены сгаревших.  </t>
  </si>
  <si>
    <t>В следующих экспедициях имеется дробилки  Кизилкум ЦПГРЭ -2шт, Самарканд ЦПГРЭ 2-шт, Тошкент ЦПГРЭ 2-шт, Хисор ЦПГРЭ 2-шт, Геофизика 1-шт данной Ц.Л. (ингичка)-1шт экспедиции затребовали 10-шт Калорифера для сушки геологических проб.</t>
  </si>
  <si>
    <t xml:space="preserve">Данный  материалы будут использованы для подгатовки обеъктов к осеннему зимнему переуду 2024-2025 году </t>
  </si>
  <si>
    <t xml:space="preserve">Данный  материалы будут использованы для подгатовки обеъктов к осеннему зимнему переуду 2024-2025 году  </t>
  </si>
  <si>
    <t>Согласно заявкамКизилкум ЦПГРЭ 3-шт, Гиссар ЦПГРЭ 3-шт, Самарканд ЦПГРЭ 3-шт, Тошкент ЦПГРЭ-3штна высоковольтный кабель требуется соединительная муфта марки 3СТп-10-95/120.</t>
  </si>
  <si>
    <t xml:space="preserve">В экспедициях имеется 25 ед. высоковольтных ячеек типа КРУН, ЯКНО-6 кВ где установлены по 6 шт. ИПУ-10.Данный момент требуется замена 18 шт. Для резерва требуется 6 шт. </t>
  </si>
  <si>
    <t xml:space="preserve">Количество ЯРВ устройств составляет; Шахта, Штольня -15 шт, а также объекты, цеха, и участки около 25 ед.  Общее количество 40 ед. Для по этапной замены изношеных затребовано по экспедициям. требуется 8 шт.Для дополнительного точек 4 шт.  Для резерва необходимо 4 ед.                  </t>
  </si>
  <si>
    <t>В экспедициях эксплуатируется высоковольтные ячеейки в количестве 20 ед, где установлены ТН  НТМИ-6. Из них 4 ед работают не стабильно с перебоями, требуется замена; Для резерва необходимо 4 ед.</t>
  </si>
  <si>
    <t>Измерительная трансформатор тока ТОЛ-6 кв  СВЭЛ Т (далее – трансформаторы) предназначены для передачи сигнала измерительной информации средствам измерений, устройствам защиты, автоматики, сигнализации и управления в электрических установках переменного тока промышленной частоты. Напряжение 6кВ.</t>
  </si>
  <si>
    <t>Трансформаторы напряжения ЗНОЛ.06 применяются в электрических цепях переменного тока частотой 50 Гц с номинальным напряжением от 3 до 35 кВ включительно с целью передачи сигнала измерительной информации приборам измерения, защиты, автоматики, сигнализации и управления. ЗНОЛ.06-10 перед.мощность 630 В-А, Гост 15150, номинальная напряжения 10 кВ.предназначены для установки в комплектные распределительные устройства (КРУ) внутренней и наружной установки и служат для питания цепей измерения, автоматики, сигнализации и защиты в электрических установках переменного тока частоты 50 или 60 Гц в сетях с изолированной нейтралью.                      Напряжение 6кВ.</t>
  </si>
  <si>
    <t>В экспедициях на буровых агрегатов, шахтах и штольнях эксплуатируется 10 ед, из них не исправном состояние 6 ед, требуется замена; Для резерва необходимо 2 ед.</t>
  </si>
  <si>
    <t xml:space="preserve">В экспедициях на буровых агрегатов, шахтах и штольнях эксплуатируется 16 ед, из них не исправном состояние 6 ед, требуется замена; </t>
  </si>
  <si>
    <t xml:space="preserve">В экспедициях имеется высоковольтные ЯКНО -6кВ в количестве 20 ед на которых установлены по 3 шт измерительные трансформаторы тока. Из них 12 ед работают не стабильно с перебоями на данный момент требуется замена  некоректно работающих трансформаторов.  Для резерва необходимо 3 ед.                                                            </t>
  </si>
  <si>
    <t xml:space="preserve">Имеется в наличии в экспедициях 20 шт переносных заземлении. Из них не годном состояние 10 шт, требуется замена; </t>
  </si>
  <si>
    <t>Имеется в наличии в экспедициях 105 шт монтажных поясов. Из них не пригодном состояние 22 шт, требуется замена; Для резерва необходимо 5 шт.</t>
  </si>
  <si>
    <t xml:space="preserve">Количество РП, ЯРП, АРВ, ВР и других распред. устройств составляет; на буровых 55 шт, Шахта, Штольня - 45 шт, а также объекты, цеха, и участки около 200 единиц.  Общее количество  300 точек. На данный момент в экспедициях после выбраковки осталось 175 единиц ковриков. Для замены требуется закупить 175 шт для  участков, шахт и буровых. </t>
  </si>
  <si>
    <t>Имеется  электрические буровые установки, а также объекты, цеха, и участки около 95 шт. На данный момент в экспедициях после выбраковки осталось 65 шт. перчаток. Для замены требуется закупить  30 шт.  Для резерва необходимо 55 шт. для резерва.</t>
  </si>
  <si>
    <t>В экспедициях имеется  буровые агрегаты марки UKB-5S кол-во 5 ед. Требуется резерв 2 ед.</t>
  </si>
  <si>
    <t>На буровых агрегатах эксплуатируется эл.лебёдки марки ЛГ-5, Л-5 с мощностью 5,5 кВт кол-во 28 ед. Требуется замена ЧП работающие с перебоями кол-во 3 ед, а также для резерва необходимо 1 ед.</t>
  </si>
  <si>
    <t xml:space="preserve">В геофизической партии имеется лебедка иощностью 2,2 кВт. В целях бесперебойной и стабильной работы оборудование требуется резерв В целях сохранения </t>
  </si>
  <si>
    <t>На буровых эксплуатируются Насосы НБ-32 с мощностью 30 кВт количестве 16 ед. Требуется замена ЧП работающих с перебоями кол-во 4 ед. Для резерва необходимо 2 ед.</t>
  </si>
  <si>
    <t>Для электрического бурового агрегата  ESD-9 с мощностью 110  кВт, Для плавного пуска и защиты от перенапряжения</t>
  </si>
  <si>
    <t>Количество трансформаторных подстанции по экспедициям составляет 110 ед.  а также имеется силовые распределительные устройство в дробилках и лабораторных участках количестве 20 шт. Общие кол-во 130 ед. силовых устройств где установлены АВ от 400 -800 А. На данной момент требуется замена некоректно работающих АВ кол-во 48 шт Которых необходимо заменить. Для резерва необходимо 14 шт.   какие установка</t>
  </si>
  <si>
    <t>В экспедициях эксплуатируется  электрические буровые устройств где установлены по 2-3 кантактов. Общие кол-во около 70-90 шт. За время эксплуатации контакты данное пусковое оборудования быстро изнашиваются и требует частых замен. Неисправные контакторы работают с перебоями, в связи с чем требуется  42 шт. Остальное количество 40 ед. кантакторов затребован для резерва в целях замены  неисправных во избежание простоев.</t>
  </si>
  <si>
    <t>В экспедициях имеется дробильные печи с мошностью от 40-55 кВт кол-во 9 ед, электрические котельные установки с  мошностью 50-65 кВт -8 ед,  компрессоры с мошностью 55-130 кВт -12 ед,  а также рапредилительные щиты где  используется такие типы кантакторов. Обшие кол-во устройств примерно 40 ед. Требуется замена не коректно работаюших контакторов кол-во 20 шт. Остальные кол-во 20 ед. кантакторов затребован для замена  неисправных во избежание простоев.</t>
  </si>
  <si>
    <t>Количество РП, ЯРП, АРВ, ВР и других распред. устройств составляет; на буровых 40 шт, Шахта, Штольня - 40 шт, а также объекты, цеха, и участки около 160 единиц.  Общее количество  240 ед щитов. На каждом из щитов установлены магнитные пускатели минимум 2-3 шт. (520 шт ПМЛ). За время эксплуатации некоторые пускатели выходят из строя. Имеется около 71ед. некоректно работающих пускателей которые необходимо заменить. Остальные количество 70 ед. пускателей затребован для замены неисправных во избежание простоев.</t>
  </si>
  <si>
    <t>По заявкам Ташкентская ЦГРЭ пускатель ПРН-250 А планитуетя использует в штольнях  Чакмоктош.</t>
  </si>
  <si>
    <t xml:space="preserve">На шахтах и штольнях в данный период имеются около 15 ед. ВРН-250 которые полностью задействованы в работе. В 2024 году запланировано проходка на 6310 п/м.   Для подключения шахтного оборудования, ответвление кабельных линии в подземных условиях требуется установка ВРН-250А. Ожидаемой количество ответвлении в год 12 точек </t>
  </si>
  <si>
    <t>В экспедициях имеется 22 ед мегометров. Из них 8 ед. работают некоректно с перебоями, требуется замена;  Для резерва необходимо 4 ед.</t>
  </si>
  <si>
    <t>В экспедициях имеется 28 пар Ж/Б лазов. Из них 16 пар почти пришли негодность, требуется замена.</t>
  </si>
  <si>
    <t>В экспедициях имеется 24 пар когти монтёрские. Из них 17 пар почти пришли негодность, требуется замена.</t>
  </si>
  <si>
    <t>В экспедициях имеется УВН -10кВ кол-во 24 шт. из них 11 шт. не исправный, требуется замена.</t>
  </si>
  <si>
    <t xml:space="preserve">Имеется М381 амперметоров в экспедициях кол-во 60 ед Для резерва необходимо 20-ед. </t>
  </si>
  <si>
    <t>Амперметр</t>
  </si>
  <si>
    <t xml:space="preserve">Вольтметр </t>
  </si>
  <si>
    <t xml:space="preserve">Счетчик электроэнергии </t>
  </si>
  <si>
    <t>Счетчик электроэнергии</t>
  </si>
  <si>
    <t xml:space="preserve">Во исполнения гос программы по экономии эл.энергия требуется внедрения автономных источноков света. Также данные прожекторы на много эффективны в отдалёных от электросетей объектов </t>
  </si>
  <si>
    <t xml:space="preserve">В следующих экспедициях требуется опоры ж/б; Ташкентская ЦГРЭ (В.Курама 60 шт для штольни Чакмоктош Олмлик ПЭ 30 шт) Кизилкумская ЦГРЭ (Кизилкум ПЭ уч.прикантау 4-км кол-во 70 шт) Самаркандская ЦГРЭ (Зарафшон ПЭ уч Авлиё заргар 2 км 20-шт, Ш.Нурота ПЭ уч. Пистали 2,5 км 20-шт, Зармитан ПЭ уч.Чармитан 1-км 20 шт)  </t>
  </si>
  <si>
    <t xml:space="preserve">Требуется замена электродвигателей на вентилятор СВМ-5 Дробилка и Лаборатория по причине у них   (корпус не пригоден вал диформирован, востановлению не пригоден). Кизилкум ЦПГРЭ 1-шт, Тошкент ЦПГРЭ 1-шт. </t>
  </si>
  <si>
    <t>Требуется замена электродвигателей дробилбного оборудования по причине:  (корпус не пригоден вал диформирован, востановлению не пригоден).                                    Кизилкум ЦПГРЭ 1-шт, Тошкент ЦПГРЭ 1-шт. Ц.Л  для дроб цех  лаборатории 1-шт</t>
  </si>
  <si>
    <t xml:space="preserve"> Кизилкум ЦПГРЭ, Самарканд ПГРЭ, ГисорПГРЭ, Тошкент ПГРЭ Ц.Л.  также планируется строительсво передвижных линии от 1 км до 5 км.  При строительстве новых ЛЭП планируется 8 шт разденителей  Для резерва требуется 7-шт.</t>
  </si>
  <si>
    <t>Общие количество трансформаторов 110 шт. Из них на 12 ед трансформаторов требуется  частичная замена ПК-6 кол-во 36-шт. Для резерва требуется 6-шт.</t>
  </si>
  <si>
    <t>Затребованно для штольни и шахт Гисарской ЦГРЭ и Самаркандской ЦГРЭ.</t>
  </si>
  <si>
    <t>Согласно заявкам Кизилкум ЦПГРЭ 3-шт, Гиссар ЦПГРЭ 3-шт, Самарканд ЦПГРЭ 3-шт, Тошкент ЦПГРЭ-3шт на высоковольтный кабель требуется соединительная муфта марки 3СТп-10-70/120.</t>
  </si>
  <si>
    <t>2024 году плонируется бур.работы объёмом 2200 п/м уч. Чармтан для подключения 2-буровых агрегата Зармитан ПЭ уч Гужумсой требуется -1000 м.</t>
  </si>
  <si>
    <t>Кизилкумской ЦГРЭ предназначен для передвежения Ханжин 30 -(200 кВт) с одной точки на другую точку -200 м. а также Самаркандской ЦГРЭ предназначен для бур. Агрегата ханжин 30 -(200 кВт) -2 шт.с одной точки на другую точку -200 м.</t>
  </si>
  <si>
    <t xml:space="preserve"> Гиссарком ЦГРЭ использует для замены изношенных сварочнах кабелей 150 м., Самаркандском ЦГРЭ использует для замены и продления сварочных кабелей 150 м., Тошкентской ЦГРЭ также для удлинение и  замены изношенных сварочных кабелей 150 м. и в Ц.Л. использует для сворочных агрегатов 50м.</t>
  </si>
  <si>
    <t>Имеется счётчиков в экспедициях кол-во  ед. из них   35 ед. Для резерва необходимо 10-ед в целях оперативнной  замены.  При открытии новых объектов будут установлены счетчикт (договорные работы и др.)</t>
  </si>
  <si>
    <t>Имеется счётчиков в экспедициях кол-во  ед. из них   43 ед. Для резерва необходимо 10-ед в целях оперативного замены. При открытии новых объектов будут установлены счетчики (договорные работы и др.)</t>
  </si>
  <si>
    <t xml:space="preserve">Для использования в коратажной станции как переноска. </t>
  </si>
  <si>
    <t xml:space="preserve">В экспедициях имеется высоковольтные ЯКНО в количестве 20 ед на которых установлены по 1 шт измерительные трансформаторы напряжение Из них 4 ед работают не стабильно с перебоями на данный момент требуется замена  некоректно работающих трансформаторов. Для резерва необходимо 1 ед.                                                      </t>
  </si>
  <si>
    <t xml:space="preserve">Планируется установка ЧП на дробилное оборудование 6 шт.  Самарканд ЦГРЭ - имеются дробильное оборудование мощностью от 5-15кВт -6шт,  Тошкент ЦГРЭ - имеются дробильное оборудование мощностью от 5-15кВт -5шт. и Кизилкум ЦГРЭ имеются дробильное оборудование мощностью от 5-15кВт -5 шт. Всего 16 ед. Для резерва необходимо 2 ед. </t>
  </si>
  <si>
    <t>Ташкентская ЦГРЭ для прокладки кабеля на проветривании Штольнии №3 в В Кураминской  ПЭ вентиляторы СВМ -6 (22 кВт) 4-шт 300 м. а также для уборки горной массы из забоя с скреперной лебедкой ЛС-17  (17-кВт) 3шт. Самарканд ЦГРЭ (Зармитан ПЭ) для проветривания шахты №10-12 Вентиляторы СВМ -6 (22кВт) -3шт. и для откатки технической воды из ствола шахт 2-шт. (18,5кВт) 300 м. Кизикумский ПЭ Ханжин 16 (110кВт) замена устаревшего кабеля 70 м. и передвижения ханжин 16    110 (кВт) -130 м.Сурхон ПЭ уч Северный продления проходки 200м.</t>
  </si>
  <si>
    <t xml:space="preserve">Самаркандском ЦГРЭ (Зарафшан ПЭ) предназначено для уч.ЯНГИ Давон провентиривония шахты с СВМ-6 (22 кВт) 1-шт., и СВМ 5 (11 кВт) 1шт. 200 м, для СВМ 6 (22 кВт) 100 м. С.Нурота ПЭ нового построеного здания АТУ  для монтажа РМУ, зорядочный цех, Токарный цех- 400 м. а также В.Кураминской ПЭ для уселения дроб цеха. 250 м., Ц.Л. насосо ЦНС 60/66 предназначен  для замены устаревшего кабеля -50 м. </t>
  </si>
  <si>
    <t xml:space="preserve">Самаркандская ЦГРЭ (С.Нурота ПЭ для передвижения с одного точки на другую  бурового агрегата ЗМО-1500 (90кВт)-100 м. Гиссрской ЦГРЭ предназначен проветривания штольнии уч. Яхтон№7 100 м.,и штольнии Уч Северный. -100 м. и Кизилкумской ПЭ и Кокпатас ПЭ  предназначен для замены усиаревшего кабеля общежите  200 м и лаборатории 200 м.    </t>
  </si>
  <si>
    <t>Для удленение кабеля буровых агрегатов Тошкентской ЦГРЭ Hanjin-30 230 (кВт) 150м. Кизилкумская ЦГРЭ а также в Гиссарской ЦГПЭ на уч. Яхтон  требуется замены изношного  кабеля компрессорной установки РЕННЕР 132 Д мошностью 132 (кВт)-100м.</t>
  </si>
  <si>
    <t xml:space="preserve">Согласно заявкам по праходки горных работ Самарканд ЦГРЭ 3400 м. Тошкент ЦГРЭ 4800 м. Ø50-6300 м. Гиссар ЦГРЭ 1000 м. Для обеспечения бур бр. с технической водой используют полиэтиленовые трубы. Всего 9300 метров  </t>
  </si>
  <si>
    <t>Полителин труба SDR 11, ПЭ-100  д=32, калинлиги 3 мм</t>
  </si>
  <si>
    <t>Полиэтиленовая труба ПНД d= 50 мм, Стенка: 5.6 мм, SDR: 9, P= Ру16</t>
  </si>
  <si>
    <t xml:space="preserve">Полиэтиленовая труба ПЭ-100 SDR 11 - 25×2,3 питьевая </t>
  </si>
  <si>
    <t xml:space="preserve">2024 год запланировано строительство стационарных и передвижных  ЛЭП на участках согласно  геологических проектов  и договорных работ. По предворительным подсчётом заплонированно строительство  ЛЭП; Стационарных 20 км, передвижных 68 км. Итого ЛЭП            88 км. Из них 60% (53 км) ЛЭП перестраиваются на другие участки имеюшимся наличии линиями (демонтаж-монтаж). Ожидается новое строительство ЛЭП  40%  (36 км).  36х3=108 км. Ожидается расход алюминевого провода на 108 км            </t>
  </si>
  <si>
    <t xml:space="preserve">ФОЛЬГОИЗОЛ -4мм  </t>
  </si>
  <si>
    <t xml:space="preserve">Стекловата с фольгой-10мм  </t>
  </si>
  <si>
    <t>Харид предмети</t>
  </si>
  <si>
    <t>Харид предмети таснифи</t>
  </si>
  <si>
    <t>Миқдори</t>
  </si>
  <si>
    <t>Изоҳ</t>
  </si>
  <si>
    <t>ММ ва ТХ БЎЛИМИ 2024 йил учун</t>
  </si>
  <si>
    <t>Белье нательное</t>
  </si>
  <si>
    <t>комп</t>
  </si>
  <si>
    <t>Костюм х/б из смесевой ткани (ИТР)</t>
  </si>
  <si>
    <t>ГОСТ 12.4.280.-280</t>
  </si>
  <si>
    <t>В 2022 году получено 1000 комп. (Общ.числ. ИТР-1614)</t>
  </si>
  <si>
    <t>Куртка на утепляющей подкладке для рабочих</t>
  </si>
  <si>
    <t>В 2022-2023 году получено 1569 комп.</t>
  </si>
  <si>
    <t>Куртка на утепляющей подкладке (ИТР)</t>
  </si>
  <si>
    <t>ГОСТ 12.4.236-2011</t>
  </si>
  <si>
    <t>шт</t>
  </si>
  <si>
    <t>В 2022-2023 году получено 465 комп.</t>
  </si>
  <si>
    <t>Брюки на утепляющей прокладке для ИТР</t>
  </si>
  <si>
    <t>Для ИТР работающий на полевой условии</t>
  </si>
  <si>
    <t>Брюки на утепляющей прокладке для рабочих</t>
  </si>
  <si>
    <t>В 2023 году получены  1195 шт. Работающие на полевом условие 1300 чел.</t>
  </si>
  <si>
    <t xml:space="preserve">Костюм  х/б из смесевой ткани для рабочих </t>
  </si>
  <si>
    <t>Общее кол-во рабочих-2100 чел.</t>
  </si>
  <si>
    <t>Костюм брезентовый с огнезащитной пропиткой</t>
  </si>
  <si>
    <t xml:space="preserve">Для сварщиков </t>
  </si>
  <si>
    <t>Костюм брезентовый водаустойчивый</t>
  </si>
  <si>
    <t xml:space="preserve">Для проходчиков и буровиков работающий на подземном условии </t>
  </si>
  <si>
    <t>Костюмь-брюк для сварщика зимний (местный брезент)</t>
  </si>
  <si>
    <t xml:space="preserve">Шерстовый костюмь для защиты от высокого температура </t>
  </si>
  <si>
    <t>Для работаюшие на печь 29чел.</t>
  </si>
  <si>
    <t>Плащ прорезиненный ОЗК</t>
  </si>
  <si>
    <t>Для проходчиков и рабочих на подземном условии. Кол-во бур.бр 90ед. и кол-во штольни 7.</t>
  </si>
  <si>
    <t>Спецодежда для охранников</t>
  </si>
  <si>
    <t>Общ.кол-во охранников (138 чел.)</t>
  </si>
  <si>
    <t>Технический халат для уборщиков помещений</t>
  </si>
  <si>
    <t>Согл. штатного расписания (факт. 64 чел.)</t>
  </si>
  <si>
    <t xml:space="preserve">Футболка </t>
  </si>
  <si>
    <t>Для рабочих и ИТР</t>
  </si>
  <si>
    <t>Жилет сигнальный</t>
  </si>
  <si>
    <t>Для автомобилей</t>
  </si>
  <si>
    <t>Кепки для ИТР</t>
  </si>
  <si>
    <t>Для  ИТР</t>
  </si>
  <si>
    <t>Пошив спец. ботинок кожанные для ИТР</t>
  </si>
  <si>
    <t>пара</t>
  </si>
  <si>
    <t>В 2023 году получены 650 пара. Общ..кол-во ИТР</t>
  </si>
  <si>
    <t>Ботинки кожанные с металлическим подноском для рабочих</t>
  </si>
  <si>
    <t xml:space="preserve">пара                                                                                                                                                              </t>
  </si>
  <si>
    <t>Для работников экспедиции</t>
  </si>
  <si>
    <t>Сапоги кирзовые с металлическим подноском</t>
  </si>
  <si>
    <t>Для работающих на поверхностние условии</t>
  </si>
  <si>
    <t>Резиновые сапог</t>
  </si>
  <si>
    <t>Работающие на подзем условие</t>
  </si>
  <si>
    <t>Халат для женщин лабораторий</t>
  </si>
  <si>
    <t>Для женщины лаборатория</t>
  </si>
  <si>
    <t>Ботинки кожанные для женщин лабораторий</t>
  </si>
  <si>
    <t>Каска зашитная (монтажная)</t>
  </si>
  <si>
    <t>Бур.бр-90 ед., Вспом. 5</t>
  </si>
  <si>
    <t>Каска защитная (шахтерская)</t>
  </si>
  <si>
    <t>Для  работающие на подз.усл.  360 чел.</t>
  </si>
  <si>
    <t xml:space="preserve">Подшлемник </t>
  </si>
  <si>
    <t xml:space="preserve">Для проходчиков и буровиков работающий на подземном и поверхностном  условии </t>
  </si>
  <si>
    <t>Очки защитные закрытые</t>
  </si>
  <si>
    <t>Для токаров и работающий на кернорезном станке</t>
  </si>
  <si>
    <t>Очки защитная открытые</t>
  </si>
  <si>
    <t>Иссикка чидамли никоб шиша толали</t>
  </si>
  <si>
    <t>Для работающие на печь</t>
  </si>
  <si>
    <t>Маска сварочная</t>
  </si>
  <si>
    <t>Для сварщиков</t>
  </si>
  <si>
    <t>Постельное  бельё   односпальное</t>
  </si>
  <si>
    <t>буровики, водители водавоза, трактористи, геологов и горняки</t>
  </si>
  <si>
    <t>Подушка</t>
  </si>
  <si>
    <t xml:space="preserve">Одеяло </t>
  </si>
  <si>
    <t>Матрац</t>
  </si>
  <si>
    <t>Покрывало</t>
  </si>
  <si>
    <t>Рукавицы брезентовый ВО</t>
  </si>
  <si>
    <t xml:space="preserve"> пара</t>
  </si>
  <si>
    <t>работающие на полевом условие 1600 чел. Поверх. и подземные рабочие 400 чел.</t>
  </si>
  <si>
    <t xml:space="preserve">Перчатки резиновые </t>
  </si>
  <si>
    <t>Для уборщиков</t>
  </si>
  <si>
    <t xml:space="preserve">Перчатки кислотостойками </t>
  </si>
  <si>
    <t>Для аккумуляторщиков, лобарантов</t>
  </si>
  <si>
    <t>Рабочие перчатки х/б</t>
  </si>
  <si>
    <t>Для рабочих</t>
  </si>
  <si>
    <t xml:space="preserve">Рукавицы из кашми. </t>
  </si>
  <si>
    <t>Для работающих на печь</t>
  </si>
  <si>
    <t>Медицинской резиновый перчатки</t>
  </si>
  <si>
    <t>Для медсестра АТУ и работников Лаборатории</t>
  </si>
  <si>
    <t>Респиратор Лепесток ШБ-1</t>
  </si>
  <si>
    <t>Для работников шахты, лаборатории и дроцех</t>
  </si>
  <si>
    <t>Респиратор с  клапаном</t>
  </si>
  <si>
    <t>Для работников лаборатории и дроцех</t>
  </si>
  <si>
    <t xml:space="preserve">Фартук прорезиновый  </t>
  </si>
  <si>
    <t>Для аккумуляторшиков и лобарантов</t>
  </si>
  <si>
    <t xml:space="preserve"> Фартук брезентовый ОП</t>
  </si>
  <si>
    <t xml:space="preserve">Наушники "Беруши" </t>
  </si>
  <si>
    <t>Для работников дробцеха, горного, кернорезного станка и пневмо-воздуш. Бурения</t>
  </si>
  <si>
    <t xml:space="preserve">Наушники противошумные </t>
  </si>
  <si>
    <t>Для работников дробцеха, горного, кернорезного станка и пневмо-воздуш. бурения</t>
  </si>
  <si>
    <t>Пожарный щит</t>
  </si>
  <si>
    <t>Для бур.бригади, горний уч., Склад ГСМ и ВМ</t>
  </si>
  <si>
    <t>Ёнгинга карши шланг синтетик толали RPM(дм.51,66,77).</t>
  </si>
  <si>
    <t>п.м</t>
  </si>
  <si>
    <t>Для обновить пожарноги шланга</t>
  </si>
  <si>
    <t>Огнетушитель ОП-1</t>
  </si>
  <si>
    <t>Для кабинетов и автомашин</t>
  </si>
  <si>
    <t>Огнетушитель ОП-2</t>
  </si>
  <si>
    <t>Для обновить огнетушители</t>
  </si>
  <si>
    <t>Огнетушитель ОП-3</t>
  </si>
  <si>
    <t>Для обновить огнетушителя</t>
  </si>
  <si>
    <t>Огнетушитель ОП-5</t>
  </si>
  <si>
    <t>Огнетушитель ОП-10</t>
  </si>
  <si>
    <t>Огнетушитель ОУ-5</t>
  </si>
  <si>
    <t>Пожарная насос</t>
  </si>
  <si>
    <t>Для установки пожарня емкостью</t>
  </si>
  <si>
    <t>м3</t>
  </si>
  <si>
    <t>Аптечка медицинская</t>
  </si>
  <si>
    <t>Для бур.бригад, горн.цех и все полевие партии</t>
  </si>
  <si>
    <t xml:space="preserve">Аптечка медицинская для автомобилей. </t>
  </si>
  <si>
    <t>Для наличие автомашини</t>
  </si>
  <si>
    <t>л</t>
  </si>
  <si>
    <t>Танометр</t>
  </si>
  <si>
    <t>По каждому АТУ</t>
  </si>
  <si>
    <t>Самоспасатель СI-30</t>
  </si>
  <si>
    <t>Для работающих шахты</t>
  </si>
  <si>
    <t>Газоанализатор Сигнал 022</t>
  </si>
  <si>
    <t>Для горних цех</t>
  </si>
  <si>
    <t>Газ плита</t>
  </si>
  <si>
    <t>Для буровиков бригад, горный цех и геологов</t>
  </si>
  <si>
    <t>Газобаллоны для сжиннего газа</t>
  </si>
  <si>
    <t>Емкость для воды 1тн (колесный).</t>
  </si>
  <si>
    <t>Для бурових бригад</t>
  </si>
  <si>
    <t>Палатка геологическая 4,5*3</t>
  </si>
  <si>
    <t>Для геологов и канавшиков на полевих условии Кызылкумской ЦГРЭ-3 шт, Самркандской ЦГРЭ-2 шт.</t>
  </si>
  <si>
    <t>Палатка геологическая 10-местная</t>
  </si>
  <si>
    <t>Для геологов и канавшиков на полевих условии Ташкентской ЦГРЭ</t>
  </si>
  <si>
    <t>Облегчённые надувные палатки</t>
  </si>
  <si>
    <t>Для буровиков</t>
  </si>
  <si>
    <t>Сумка для взрывников</t>
  </si>
  <si>
    <t xml:space="preserve">Для доставки ВМ </t>
  </si>
  <si>
    <t>Изох</t>
  </si>
  <si>
    <t>ГОРНЫЙ ОТДЕЛ</t>
  </si>
  <si>
    <t xml:space="preserve">Спец. Профиль </t>
  </si>
  <si>
    <t>СВП-17 стандарт ГОСТ 18662-83
сталь Ст5пс
длинна 12м.
Высота 94,0.
Ширина 131,5.
Масса 1м - 17,10кг.</t>
  </si>
  <si>
    <t>т</t>
  </si>
  <si>
    <t>1 рама =8,4 м *17кг=144 кг состояни между рама 1п.м. 144х1000п.м=158400 кг</t>
  </si>
  <si>
    <t>Труба мет  114х3,5</t>
  </si>
  <si>
    <t>Трубы водогазопроводные ВГП 114x3.5 мм 10 ГОСТ 3262-75 для сжати воздух длина 8м</t>
  </si>
  <si>
    <t>Тошкент-500, Гиссар-3000, Самарканд-500</t>
  </si>
  <si>
    <t>Вент труба д 400</t>
  </si>
  <si>
    <t>ТРУБА ПЭ ГОФРИРОВАННАЯ SN4 460 / 400 * 6000 ММ ДВУХСЛОЙНАЯ С РАСТРУБОМ толшина 12-14 мм</t>
  </si>
  <si>
    <t xml:space="preserve">Накладка релс Р-18 </t>
  </si>
  <si>
    <t>Haклaдкa P-18 пpeднaзнaчeнa для cкpeплeния c внутpeннeй и внeшнeй cтopoны шeйки peльca P-18 мeжду coбoй, c пoмoщью бoлтa cтыкoвoгo M16x78. Размер (д/ш/в):	372х64,6х33мм: Материал:	мартеновская сталь М54     Вес:	3,06 кг
количество в 1й тонне: 	327 шт.</t>
  </si>
  <si>
    <t>на кажду 8 п.м используется 4 шт 2800п.м/8=350 стик 350*4=1400шт*3кг=4200 кг</t>
  </si>
  <si>
    <t>подкладка Р-18</t>
  </si>
  <si>
    <t>Подкладка к рельсам железнодорожным типа р-18: Материал: Сталь; Масса: 1,855 кг; Количество подкладок в 1 тн: 539 шт.; Число отверстий:	3; Габариты:185х100х23,4мм</t>
  </si>
  <si>
    <t>на кажду 1 п.м используется 2 шт                                           1400п.м*2шт*1,85кг=5180 кг</t>
  </si>
  <si>
    <t>Костель р-18</t>
  </si>
  <si>
    <t>Костыль путевой  ГОСТ 5812-82;  Масса, кг: 0.180
Размер (д/ш/в), мм: 130x12x12; Костыль путевой железнодорожный служит для прикрепления рельсов к деревянным шпалам с помощью крепежных подкладок.</t>
  </si>
  <si>
    <t>на кажду 1 п.м используется 6 шт            4000п.м*6шт*0,18кг=4300 кг</t>
  </si>
  <si>
    <t>провод ВП -2х0,7</t>
  </si>
  <si>
    <t xml:space="preserve"> Провода для промышленных взрывных работ ВП -2х0,7 Расшифровка провода ВП:
В- Взрывной провод
П - Изоляция из полиэтилена
ВП - провода с медными жилами с полиэтиленовой изоляцией, для взрывных работ.; Токопроводящая жила – медная, однопроволочная, круглая диаметрами 0,7 mm.</t>
  </si>
  <si>
    <t>м</t>
  </si>
  <si>
    <t>на кажду 1 п.м используется 10 м 6350отполка*10=63500м+поверх взрыв работ</t>
  </si>
  <si>
    <t xml:space="preserve">Рукав вентиляционные гибкие шахтные </t>
  </si>
  <si>
    <t>Материал для изготовления шахтной вентиляции представляет собой тканевую основу, пропитанную ПВХ композицией со специальными добавками (антистатиками и антипиренами, компонентами, добавляемыми в материалы с целью обеспечения огнезащиты)
Длинна одной трубы -20, м.
диаметр: 500 мм.</t>
  </si>
  <si>
    <t>40 шт рукава на  10 штолня</t>
  </si>
  <si>
    <t>Болт путевой</t>
  </si>
  <si>
    <t>Болт стыковой М16х72 с гайкой
 Разные формы головки и подголовника болта (головка круглая, а подголовник имеет овальную форму) исключают проворачивание детали при установке гаек, будь то их закручивание или откручивание.
Стандарт:	ГОСТ  8144-73
Длина:	72 мм
Диаметр резьбы:	16 мм
Шаг резьбы: 	2,5 
Марка стали: 	20
Класс прочности:	5,8
Класс точности:	В
Вес болта свободного:	0,135 кг
Вес болта с гайкой:	0,168 кг
Вес болта с гайкой, шайбой (в сборе):	0,181 кг</t>
  </si>
  <si>
    <t>на кажду 8 п.м используется 8 шт 7000п.м/8=875 стик *8шт=7000шт*0,18кг=1200 кг</t>
  </si>
  <si>
    <t>Рукав напорные  д50</t>
  </si>
  <si>
    <t xml:space="preserve">АрмированиеТекстильный каркасВидШланг резиновый напорныйВнутренний диаметр, мм50Газ, топливо, масла и жидкостиДизельное топливо, бензин, керосин, уайт-спирит и их смесиГОСТГОСТ 18698-79Давление, атм10ИспользованиеВ промышленности и бытуИзготовленИз резинового слоя с текстильным каркасомКлассБ ( I )КлиматУмеренный и тропическийМинимальная длина бухты, м10, 20Масса м.п., кг0.45НазначениеДля бензина, керосина, минеральных масел на нефтяной основеНаружный диаметр, мм64
</t>
  </si>
  <si>
    <t>на 10 штолня* 40м=400</t>
  </si>
  <si>
    <t>Рукав напорный д38</t>
  </si>
  <si>
    <t xml:space="preserve">АрмированиеТекстильный каркасВидДля компрессораВнутренний диаметр, мм38Газ, топливо, масла и жидкостиСжатый воздух, углекислый газ, азот и другие инертные газыГОСТГОСТ 18698-79Давление, атм10ИспользованиеВ промышленности и бытуИзготовленИз резинового слоя с текстильным каркасомКлассГ (IV)КлиматУмеренный и тропическийМинимальная длина бухты, м10, 20Масса м.п., кг0,44НазначениеДля сжатого воздухаНаружный диаметр, мм53
</t>
  </si>
  <si>
    <t>Рукав напорный д25</t>
  </si>
  <si>
    <t xml:space="preserve">АрмированиеТекстильный каркасВидДля компрессораВнутренний диаметр, мм25Газ, топливо, масла и жидкостиСжатый воздух, углекислый газ, азот и другие инертные газыГОСТГОСТ 18698-79Давление, атм10ИспользованиеВ промышленности и бытуИзготовленИз резинового слоя с текстильным каркасомКлассГ (IV)КлиматУмеренный и тропическийМинимальная длина бухты, м20Масса м.п., кг0,3НазначениеДля сжатого воздухаНаружный диаметр, мм40
</t>
  </si>
  <si>
    <t>Лес круглый</t>
  </si>
  <si>
    <t>Лес круглы d-16-20 см длина 6м ГОСТ 2708-75 для крепления и столба ЛЭП</t>
  </si>
  <si>
    <t xml:space="preserve">для крепления на кажду 1 п.м используется 3 шт                                    3 шт*1400=4200 шт </t>
  </si>
  <si>
    <t xml:space="preserve">Тахта (пиломатериалы) </t>
  </si>
  <si>
    <t>ГОСТ 8486-86,  влажность  60%  размеры 50*200*6000мм</t>
  </si>
  <si>
    <t xml:space="preserve">для крепления и эстакада </t>
  </si>
  <si>
    <t>Релс Р-18</t>
  </si>
  <si>
    <t>Длина -8 м.
Высота – 10,8 см.
Ширина подошвы – 9,2 см.
Ширина головки – 5,1 см.
Толщина шейки – 1,05 см.
Масса метрового элемента – 24,9 кг.
Площадь поперечного сечения – 31,79 см².
Сопротивление верхней головки – 91,02 см³.</t>
  </si>
  <si>
    <t>3000 пм*18кг*2=108000 кг  в складе имеется 20000 кг</t>
  </si>
  <si>
    <t>Затяжка  ж/б</t>
  </si>
  <si>
    <t>Шахтовая затяжка ЗШ 1-0,8 (800*200*50) Затяжка шахтная железобетонная в наличии Изготовлена в соответствии с (ТП 401-11-83 и ТУ 67-08-173-93, Железобетонная шахтная затяжка прямоугольной формы, габаритными размерами 1000х200х50мм, выполненная в форме прямоугольной плиты, армирована длинной стальной фиброй, имеющей длину 50-200 мм при диаметре 0,6 мм.</t>
  </si>
  <si>
    <t>на кажду 1п.м используется 20-22 шт    22шт*1000=22000шт</t>
  </si>
  <si>
    <t xml:space="preserve">Светильник шахтный </t>
  </si>
  <si>
    <t>Светильник горно-шахтный индивидуального освещения, содержащий фару, закрепляемую на каске с помощью скобы и зажима.
Шахтный светильник головной LED EMX-HEAD/1W (KS-6000) Источник питания: 3,7 V2.0 Аh Продолжительность работы: ≥15 часов. Освещённость при заряженной батарее: ≥ 1200 Lux Освещённость после 15 часов: ≥350 Lux Срок служба батареи: ≥80% емкости после 500-кратной зарядки Рабочая температура: от -20С до +60С Водонепроницаемость: IP 67 до 1 метра Зарядная установка: Индивидуальное зарядное устройства ИЗУ Входной сигнал: АС 100-250V Выходной сигнал: DC 5.1V Рабочий ток: &lt;600 мА Время зарядки: &lt; 7 часов Вес: 110г.</t>
  </si>
  <si>
    <t>для подземные  работники и буровики (общие 240 человек)</t>
  </si>
  <si>
    <t>Подземный телефон с АТС для шахтный</t>
  </si>
  <si>
    <t>Прочный корпус из алюминиевого сплава, антивандальное и защищенное от несанкционированного доступа оборудование, простая установка.
2. Водонепроницаемый рейтинг IP66 пыли.
3. Полная клавиатура с памятью, 3 кнопки программируемый телефон, поддержка свободного набора.
4.Магнитный геркон.
5. Усиление защиты в соответствии с рекомендацией МСЭ-Т K.21.
6. Тяжелая трубка с приемником, совместимым со слуховым аппаратом (HAC), микрофон с шумоподавлением.
7. Телефонная трубка с сильным промышленным шнуром.
8. Металлическая клавиатура защищена от попадания влаги и пыли.
9. Температурный диапазон от -40 градусов до +70 градусов.
10. Поддержка эхоподавления.
11. Удалите обновление, настройку и мониторинг программного обеспечения.
12. Необязательный 7-минутный ограниченный по времени звонок. (Эта функция по требованию покупателя).
13. Порошковое покрытие из УФ-стабилизированного полиэстера.                                                                               Система добычи включает в себя АТС, коммутатор и телефонные станции.  широко используются в качестве подземного горного оборудования. в комплект входит 1шт АТС, 2 шт телефонные апарат, 1000 метров телефонные кабел</t>
  </si>
  <si>
    <t>комплект</t>
  </si>
  <si>
    <t>для шахти и склад ВМ</t>
  </si>
  <si>
    <t xml:space="preserve">Колёсный пара </t>
  </si>
  <si>
    <t>Колесная пара для вагонетки ВО-0,8, колея-600 мм., d-300 мм.</t>
  </si>
  <si>
    <t>для  Гиссар 10  пара</t>
  </si>
  <si>
    <t>Мотобур</t>
  </si>
  <si>
    <t>Бензиновый перфоратор серии YN27 имеет массу 27 кг. В пневмоперфораторе данной модели устанавливается двухтактный одноцилиндровый двигатель с воздушным охлаждением. При помощи этого инструмента можно осуществлять работу по бурению шпура глубиной до 6 метров. Расход топлива сравнительно небольшой (менее 0,12 литров в минуту). Топливный бак вмещает 1,14 литров бензина (преимущественно использование А-95). Скорость осуществления бурения более 25 см в минуту.
Технические характеристики
Тип	YN27
Вес	27 (Kg)
Тип карбюратора	Поплавок
Система зажигания	Безконтактная
Объем двигателя	183 (cm)
Скорость вращения двигателя	≥2450 (r/min)
Количество оборотов холостого хода буровых штанг	≥250 (r/min)
Хвостовик штанги	22×108(mm)
Энергия удара	≥25(J)
Макс. угол бурения вверх	450
Объем бака	≥1.1(L)
Потребление топлива на метр	≤0.12 (L/m)
Смазка двигателя	Автоматическая
Пропорция газа в топливе рабочей смеси	12:1
Междуэлектродное расстояние свечей зажигания	0.5-0.6 (mm)
Глубина бурения отверстий	≤6(m)</t>
  </si>
  <si>
    <t>для проходка канава и строителство дорого, площодка</t>
  </si>
  <si>
    <t xml:space="preserve">Вентилятор шахтный </t>
  </si>
  <si>
    <t>Вентилятор СВМ-6 - осевой, взрывобезопасный, одноступенчатый  пыле-влагозащищенный, со съемным двигателем,  Номинальный диаметр	 мм	630
Номинальная подача	м3/с	-7
Максимальный полный КПД	%	-68
Мощность электропривода	кВт	-18
Частота вращения	мин-1	-3000
Степень защиты двигателя		-IP54
Масса комплекта	кг	-390
Высота	мм	-950
Ширина	мм	-750
Длина	мм	-1100
Напряжение	В	-380</t>
  </si>
  <si>
    <t>для  новый штолни</t>
  </si>
  <si>
    <t>Молоток отбойный пневматический МОП-3</t>
  </si>
  <si>
    <t>Отбойный пневматический молоток МОП-3 (ТЗК)012-0462  Энергия удара 48 Дж
Удельный расход воздуха 1500 л/мин; Рабочее давление 5 бар, Мощность 900 Вт
Рекомендуемый внутренний диаметр 18 мм;Масса без оснастки 9 кг, Длина без оснастки; 595 мм, Размер хвостовика 24 x 70 мм</t>
  </si>
  <si>
    <t>для  новый штольни 5 шт</t>
  </si>
  <si>
    <t>Пики для отбойного молотка     П-11</t>
  </si>
  <si>
    <t>Пика П-11 к отбойному молотку "ТЗК" (300мм) Материалсталь Ст.45 Длина	300 мм ГОСТ 7211-86 Размер хвостовика, мм (DxL) 24х70: масса -1кг. используется совместно с отбойными молотками, относящимися к серии МОП-3. Пика данного типа имеет особую конструкцию, представленную в форме остроконечной четырехгранной пирамиды</t>
  </si>
  <si>
    <t>для молоток отбойный пневматический МОП-3</t>
  </si>
  <si>
    <t xml:space="preserve">Линейный мост </t>
  </si>
  <si>
    <t>Мост переносной постоянного тока Р353 Измерительный мост Р353 - одинарный мост постоянного тока, предназначенный для измерения сопротивления проводов, электродетонаторов и электровзрывных сетей.</t>
  </si>
  <si>
    <t>на 8 складу ВМ</t>
  </si>
  <si>
    <t>Испытатели взрывной сети</t>
  </si>
  <si>
    <t>Испытатель взрывной светодиодный ВИС-1. (в комплекте зарядное устройство и проверочный резистор)
Сопротивление взрывной сети, фиксируемое испытателем как допустимое. Ом - 320
Погрешность контроля допустимого со- противления, % - ±5
Сила тока короткого замыкания на выходных клеммах испытателя, мА, не более – 5
Исполнение испытателя по взрывозащищенности - рудничное, особо взрывоопасное РО/И
Степень защиты - JP65
Габаритные размеры, мм, не более - 135х65х40
Масса, кг, не более - 0,5</t>
  </si>
  <si>
    <t>для взрывный работы</t>
  </si>
  <si>
    <t>перфоратор YT29 А С   пневмо подержкой FT -160</t>
  </si>
  <si>
    <t>перфоратор YT29 А с пневмо подержкой FT -160 Тип	YТ29A
Вес	26.5-27 (Kg)
Длина	659×248×205 (mm)
Диаметр цилиндра	82 (mm)
Ход поршня	60 (mm)
Рабочее давление	0.4~0.63 (Mpa)
Энергия удара	≥70 (J)
Частота	≥37 (Hz)
Расход воздуха	≤65 (L/s)
Рабочее давление воды	0.3 (Mpa)
Внутренний диаметр воздушных труб	φ25 (mm)
Внутренний диаметр водоподвода	φ13 (mm)
Диаметр бурения отверстий (шпуров)	φ34~φ45 (mm)
Глубина бурения отверстий (шпуров)	5 (m)
Хвостовик штанги	25х108 (mm)</t>
  </si>
  <si>
    <t>на кажду 350 п.м используется 1 шт</t>
  </si>
  <si>
    <t xml:space="preserve">Буровая штанга шестигранний </t>
  </si>
  <si>
    <t>Штанга буровая Аtlas Copcо, конструкция штанги шестигранная 
Хвостовик штанги размерами 25х108мм тоже имеет шестигранную форму.                                  Длина L=2000мм,  Посадочный конус, град. 7, шестигранник 25мм,  Штанги изготавливаются с конусом,  трапецеидальной, метрической из шестигранного с центральным отверстием из сталей марок 18ХГН3МА, 28ХГН3МА, 40ХГСМА, 55С2 с объемной закалкой или цементацией всей поверхности и закалкой ударного торца.</t>
  </si>
  <si>
    <t xml:space="preserve"> на кажду 15п.м используется 1 шт  6300п.м/15п.м=420шт</t>
  </si>
  <si>
    <t xml:space="preserve">Коронка </t>
  </si>
  <si>
    <t>Коронка буровая штыревая КНШ 43-25                                Диаметр коронки, мм-43
Посадочный конус, град.-7
Диаметр посадочного конуса, мм-25
Форма штырей-полубаллистическая
Кол-во штырей (центральные/периферийные), шт-2/5
Масса, кг-0.61</t>
  </si>
  <si>
    <t>на кажду 1п.м используется 1 шт 6300п.м*1=6300шт</t>
  </si>
  <si>
    <t>Катанка д-8мм</t>
  </si>
  <si>
    <t>Стальная проволока это металлический круглый прут непрерывной длины                                                              Диаметр катанки: Ø 8 мм
Сталь: ст. 3
Длина: бухта
Вес 1 мп: 0,395 кг.
Метров погонных в 1 тонне катанки: 2 531</t>
  </si>
  <si>
    <t>на 10 шахту для заземления</t>
  </si>
  <si>
    <t>Катанка  д-6мм</t>
  </si>
  <si>
    <t>Стальная проволока это металлический круглый прут непрерывной длины                                                               Диаметр	-6 мм
Марка	-СТ3
ГОСТ	30136-95
 Метров в тонне	-4505м</t>
  </si>
  <si>
    <t>на 10 шахту для комуникация</t>
  </si>
  <si>
    <t>Катанка д-3мм</t>
  </si>
  <si>
    <t>Стальная проволока это металлический круглый прут непрерывной длины                                                            Диаметр	-3 мм
Марка	-СТ3
ГОСТ	30136-95
 Катанка 3 – вес 1 метра равен 0.055 кг</t>
  </si>
  <si>
    <t xml:space="preserve">Ремкомплект к перфоратору YТ-29А </t>
  </si>
  <si>
    <t>Храповое колесо	 шт	-1, Гайка поршня	 шт	-2,  Поршень	 шт	-2, Собачка	 шт	-16, Ротор	 шт	-1, Конусная пружина	 шт	-16, Вращатель	 шт	-2,              Шпиндель	 шт	-2, Гайка зажимная шлицевая бронзовая	 шт	-2, Стяжной болт	 шт	-2, Водная трубка 	шт	-15, Воздушная трубка 	шт	-15, Уплотнитель трубчатый	 шт	-5, Манжета	 шт	-10, Кольцо стопорное дросселя 	 шт	-4, Уплотнитель   трубчатый	 шт	-6, Гайка стяжного   болта	 шт	-4, Кольцо   стопорное (золотник управления)	 шт	-1, Манжета	 шт	-4, 
Уплотнение водной трубки 	шт	-10, Кольцо уплотнительное	 шт	-10, Уплотнение возд. трубки	-шт	 5, Кольцо 22*29*5,5	 шт	-4, Прокладка	 шт	-4, Кольцо 4*8*1,9	 шт -6, Кольцо 17* 22*2,4	 шт	 -2, Кольцо 20*25*2,5 	шт	-6, Кольцо 29*36*3,5	 шт	-15, Ось курка 	шт	-1, Масленый бочок	 шт	-1</t>
  </si>
  <si>
    <t>15 шт перфаратор работает</t>
  </si>
  <si>
    <t>Провод троллейный МФ -85</t>
  </si>
  <si>
    <t>Контактный провод МФ 85 Фасонная однопроволочная медная токопроводящая жила номинальным сечением 85 мм2, высотой 10,80±0,10 мм и шириной 11,76±0,22 мм.</t>
  </si>
  <si>
    <t xml:space="preserve">на шахту для Тошкент ЦГРЭ </t>
  </si>
  <si>
    <t>Тролледержателя для  контактный провод МФ-85</t>
  </si>
  <si>
    <t>Рудничные держатели троллеев (тролеедержатели) ТДР-1 предназначены для подвешивания токонесущего провода марки МФ выпускающегося в соответствии с  ГОСТ 2584-86, в горных выработках  . Передача энергии осуществляется путём непосредственного контакта троллейного провода, закреплённого в зажиме, с движущимся токосъёмником транспортного средства, при эксплуатации контактных электровозов.ТДР-1 состоит из следующих частей: крепежная планка, изолятор, двух зажимных планок с болтами. Зажимы контактного провода выпускаются в соответствии с ТУ 3449-002-87182809-2010.
Комплектность троллеедержателя ТДР-1-1.
1	Корпус	-1шт
2	Планка прижимная	-2шт
3	Изолятор СА-3/6 арм.	-1шт
4	Болт М10	-2шт
5	Шайба пружинная	-2шт
6	Гайка М10	-2шт                                                                                 Длина, мм.-180,  Ширина, мм.-40,  Высота, мм.-119, Масса, кг-0,390</t>
  </si>
  <si>
    <t xml:space="preserve">Цемент </t>
  </si>
  <si>
    <t>М 400</t>
  </si>
  <si>
    <t>изпользуется для 4 шт портал                                             Расход цемента на 1м3 бетонного раствора для М150 Марка готового бетона -345 кг. Размаер портал: Длина 10м, ширина 9м, высота 0,3м, 10*9*0,3*345=9315 кг, стяжки для компрессор, ДЭС и АБК кг</t>
  </si>
  <si>
    <t>Кувалда</t>
  </si>
  <si>
    <t>тип кувалды: тупоносая
ГОСТ: 11401-75
поверхностная твердость рабочих частей: 39.5…53 HRC
материал бойка: сталь марки 50
форма бойка: квадратная
поверхность бойка: защитное покрытие от появления коррозии
рукоятка кувалды: изготовлена из высококачественных сортов березы, прямая, отшлифованная.
длина рукоятки, мм: 750
зона захвата: покрыта разноцветным лаком
вес с клином, кг: 8
вес в сборе, кг: 8.6
объем, м3: 0,019</t>
  </si>
  <si>
    <t xml:space="preserve">для поверхности горный работы </t>
  </si>
  <si>
    <t>литр</t>
  </si>
  <si>
    <t>Стрелочный перевод Р18</t>
  </si>
  <si>
    <t>Стрелочный перевод Р18 правый 5комп, левый 5 комп</t>
  </si>
  <si>
    <t>для железодорожный путь</t>
  </si>
  <si>
    <t>Запчасти пародпогрузмашина ППН-1С</t>
  </si>
  <si>
    <t xml:space="preserve">Пневмомотор </t>
  </si>
  <si>
    <t>Комплект пневмодвигателей на погрузмашину ППН-1С Пневмомотор поршневой П12-12 устанавливается на породопогрузочные машины ППН-1С как привод для хода или подъёма породопогрузочные машины. Номинальное давление воздуха на входе в пневмомотор, МПа	-0,50
Номинальная мощность, кВт	-10,00
Номинальная частота вращения выходного вала, с-1	-12,00
Номинальный удельный расход воздуха, м3/мин кВт	-1,05
Величина условного прохода присоединительной арматуры, мм	-40,00
Габаритные размеры, мм, не более	-410х425х383
Масса, кг, не более	-105
Уровень звука при работе на номинальном режиме, дБА, не более	-98</t>
  </si>
  <si>
    <t xml:space="preserve">10 штук погруз машин работает </t>
  </si>
  <si>
    <t>Пульт управления ППН-1</t>
  </si>
  <si>
    <t xml:space="preserve">Пульт управления для погрузочная машина  ППН-1С, </t>
  </si>
  <si>
    <t>ППН-1С цепь опрокидная</t>
  </si>
  <si>
    <t>Запчасти электровоза АРП-4,5</t>
  </si>
  <si>
    <t>Аккумуляторные батарея АРП-4,5</t>
  </si>
  <si>
    <t>Аккумуляторная батарея SSK 96 V 630 Ah (7PzS-90).B комплекте входит 48 штук батареи по 2 V .В комплекте входит 2х48 96v
630 Ah. В одном ящике 48 шт по 2 вольте. Данная батарея устанавливается шахтного электровоза АРП-4,5.     В комплект размер ширина 870 мм, длина 840 мм, высота 530 мм</t>
  </si>
  <si>
    <t>4 штук электровоз работает</t>
  </si>
  <si>
    <t>Электродвигатель ДРТ-10</t>
  </si>
  <si>
    <t>Двигатели постоянного тока рудничные тяговые ДРТ-10А1 предназначены для привода рудничных аккумуляторных электровоза АРП-4,5 Режим работы -S2. Мощность-10 кВт. Напряж. Якоря -105В. Ток якоря, не более-116 А. Частота вращ. номин. -1575,  1 мин. Частота вращ. макс. -3150, 1 мин. КПД -80%. Масса 250 кг. 
Способ охлаждения IC0040 по ГОСТ 20459-87. 
Степень защиты IP54 по ГОСТ 14254-96.
Направление вращения — реверсивное. Возбуждение — последовательное.
В части воздействия механических факторов условия эксплуатации должны оответствовать группе М25 ГОСТ 17516.1-90.
Исполнение по уровню взрывозащиты — РВ3В (взрывобезопасное, взрывонепроницаемая оболочка подгруппы 3В).</t>
  </si>
  <si>
    <t>Запчасти электровоза 4КР-600</t>
  </si>
  <si>
    <t xml:space="preserve">электродвигател </t>
  </si>
  <si>
    <t>Мощность электродвигателей часовая, кВт 10,2
Число оборотов двигателя при часовом режиме, об/мин 500</t>
  </si>
  <si>
    <t xml:space="preserve"> одна электровоз работает</t>
  </si>
  <si>
    <t>Редуктор для электровоза 4КР</t>
  </si>
  <si>
    <t>Редуктор R4</t>
  </si>
  <si>
    <t>Вал промежуточный для электровоза 4КР</t>
  </si>
  <si>
    <t>Взрывчатых вещество</t>
  </si>
  <si>
    <t xml:space="preserve">Аммияк силитрали портловчи модда </t>
  </si>
  <si>
    <t>RIOHIT  XE36х500, Аммонит 6 ЖВ 200-250 д-32-36, Nobelit 216 d-36</t>
  </si>
  <si>
    <t>6300*30=189000 кг  на поверх 10000 кг, на 2025 год 20000 кг</t>
  </si>
  <si>
    <t xml:space="preserve">Ноэлектр детонатор </t>
  </si>
  <si>
    <t xml:space="preserve">(RIOHEL LP, Искра-Ш неэлектрические детонаторы) </t>
  </si>
  <si>
    <t>шт (тысач)</t>
  </si>
  <si>
    <t>6300*30=189000 шт  на поверх 11000 шт, на 2025 год 20000 шт</t>
  </si>
  <si>
    <t>Электродетонатор ЭД-З-Н</t>
  </si>
  <si>
    <t>6300*1=6300 шт  на поверх 5000 шт, на 2025 год 1700 шт</t>
  </si>
  <si>
    <t>Детонируюшие шнур ДШЭ</t>
  </si>
  <si>
    <t>Детонируюшие шнур ДШЭ-12</t>
  </si>
  <si>
    <t>6300*2=12600 м  на поверх50000 шт, на 2025 год 10000 шт</t>
  </si>
  <si>
    <t>Взрывчатие  вешества  типа  Аммонит ПЖВ</t>
  </si>
  <si>
    <t>Взрывчатие  вешества  типа  Аммонит ПЖВ д-36, 200-250грам (для угольних шахт)</t>
  </si>
  <si>
    <t>для уголные шахти</t>
  </si>
  <si>
    <t xml:space="preserve">Электродетонатор ЭД-КЗ-ПКМ </t>
  </si>
  <si>
    <t>ЭД-КЗ-ПКМ (серия 20,60,80,125,150)  (для угольних шахт)</t>
  </si>
  <si>
    <t>Автошины</t>
  </si>
  <si>
    <t>10.00-20</t>
  </si>
  <si>
    <t>12.00R20</t>
  </si>
  <si>
    <t>13.6-24</t>
  </si>
  <si>
    <t>14.00R20</t>
  </si>
  <si>
    <t>175/70R12</t>
  </si>
  <si>
    <t>175/70R13</t>
  </si>
  <si>
    <t>185/60R14</t>
  </si>
  <si>
    <t>185/75R16</t>
  </si>
  <si>
    <t>195/65R15</t>
  </si>
  <si>
    <t>205/70R14</t>
  </si>
  <si>
    <t>205/75R15</t>
  </si>
  <si>
    <t>215/55R17</t>
  </si>
  <si>
    <t>215/75R17.5</t>
  </si>
  <si>
    <t>215/90R15</t>
  </si>
  <si>
    <t>225/75R16</t>
  </si>
  <si>
    <t>235/55R17</t>
  </si>
  <si>
    <t xml:space="preserve">235/75R17.5 </t>
  </si>
  <si>
    <t>245/45R18</t>
  </si>
  <si>
    <t>245/60R18</t>
  </si>
  <si>
    <t>255/55R20</t>
  </si>
  <si>
    <t>255/60R18</t>
  </si>
  <si>
    <t>265/60R18</t>
  </si>
  <si>
    <t>265/70R18 BF Goodrich A/T</t>
  </si>
  <si>
    <t>295/80R22.5</t>
  </si>
  <si>
    <t>315/80R22.5 тягач передние</t>
  </si>
  <si>
    <t>315/80R22.5</t>
  </si>
  <si>
    <t>365/80R20</t>
  </si>
  <si>
    <t>385/65R22.5</t>
  </si>
  <si>
    <t>425/85R21</t>
  </si>
  <si>
    <t>500/70-508                           (1200-500-508)</t>
  </si>
  <si>
    <t>7.00-12-12PR</t>
  </si>
  <si>
    <t xml:space="preserve">8.25R20 </t>
  </si>
  <si>
    <t>9.00R20                           (260R508)</t>
  </si>
  <si>
    <t xml:space="preserve">12.5/80-18     </t>
  </si>
  <si>
    <t>№</t>
  </si>
  <si>
    <t>Аккумуляторы</t>
  </si>
  <si>
    <t>Солидол</t>
  </si>
  <si>
    <t>ГСМ</t>
  </si>
  <si>
    <t>Молоток геолога 500 г PICARD PI-0036190500</t>
  </si>
  <si>
    <t>Оборудование для фотографирования керна</t>
  </si>
  <si>
    <t>Резник электрический (для отбора бороздовых проб)</t>
  </si>
  <si>
    <t>Husqvarna K4000 Wet</t>
  </si>
  <si>
    <t>Алмазный диск (резки камня)</t>
  </si>
  <si>
    <t>Зубила (разные, для отбора бороздовых проб)</t>
  </si>
  <si>
    <t>Весы электронные, ручные (20-кг)</t>
  </si>
  <si>
    <t>Международные стандарты медно - порфировых руд</t>
  </si>
  <si>
    <t>Международные стандарты золотосодержащих руд</t>
  </si>
  <si>
    <t>Международные стандарты свинцово - цинковых руд</t>
  </si>
  <si>
    <t>Международные бланки</t>
  </si>
  <si>
    <t>Бумага  рулонного типа</t>
  </si>
  <si>
    <t xml:space="preserve">Книжный сканер </t>
  </si>
  <si>
    <t>CZUR ET18Pro</t>
  </si>
  <si>
    <t>Бумага  офисная</t>
  </si>
  <si>
    <t>Снегурочка  А4</t>
  </si>
  <si>
    <t>Снегурочка  А3</t>
  </si>
  <si>
    <t xml:space="preserve">Картридж </t>
  </si>
  <si>
    <t>CANON 2900</t>
  </si>
  <si>
    <t>CANON LBP 6030</t>
  </si>
  <si>
    <t>CANON MF 3010</t>
  </si>
  <si>
    <t>Картридж и тонер</t>
  </si>
  <si>
    <t>Kyocera Ecosys ES-1040</t>
  </si>
  <si>
    <t>Kyocera Ecosys FS-132MFP</t>
  </si>
  <si>
    <t xml:space="preserve">НР С8543Х для принтера НР LJ  М9040 MFP </t>
  </si>
  <si>
    <t>Печатающая головка</t>
  </si>
  <si>
    <t>Canon PF-06 для плоттера Canon TM-300</t>
  </si>
  <si>
    <t xml:space="preserve">Canon Maintenance Cartridge MC31 для плоттера Canon TM-300 </t>
  </si>
  <si>
    <t>Ватман</t>
  </si>
  <si>
    <t xml:space="preserve">Гознак (формат А1 размеры 610х860 мм. Лист) </t>
  </si>
  <si>
    <t xml:space="preserve">Папка </t>
  </si>
  <si>
    <t>архивная с повязкой 1 см</t>
  </si>
  <si>
    <t>архивная с повязкой 2 см</t>
  </si>
  <si>
    <t>архивная с повязкой 4 см</t>
  </si>
  <si>
    <t>архивная с повязкой 6 см</t>
  </si>
  <si>
    <t>архивная с повязкой 10 см</t>
  </si>
  <si>
    <t xml:space="preserve">Скорошиватель </t>
  </si>
  <si>
    <t>На пуржинах 20 листов</t>
  </si>
  <si>
    <t>На зажимах 20 листов</t>
  </si>
  <si>
    <t>ДЕЛО №</t>
  </si>
  <si>
    <t>Регистр большой</t>
  </si>
  <si>
    <t>Журнал</t>
  </si>
  <si>
    <t>Деловой журнал</t>
  </si>
  <si>
    <t xml:space="preserve">Маркер  </t>
  </si>
  <si>
    <t xml:space="preserve">МАХХ 130 красный. синий черный зеленый </t>
  </si>
  <si>
    <t>Файл</t>
  </si>
  <si>
    <t>Пустографка 100 мисрон</t>
  </si>
  <si>
    <t>Ручка</t>
  </si>
  <si>
    <t>Карандаш простой</t>
  </si>
  <si>
    <t>deli №7079 Writing Creativiy HB=2</t>
  </si>
  <si>
    <t>Карандаш цвевт.</t>
  </si>
  <si>
    <t>Карандаш цвевт. 12 цв</t>
  </si>
  <si>
    <t>Скоба</t>
  </si>
  <si>
    <t>23/6 для степлера</t>
  </si>
  <si>
    <t>24/6 для степлера</t>
  </si>
  <si>
    <t>Степлер</t>
  </si>
  <si>
    <t>Степлер большой</t>
  </si>
  <si>
    <t xml:space="preserve">Скотч </t>
  </si>
  <si>
    <t>большой</t>
  </si>
  <si>
    <t xml:space="preserve">Точилка </t>
  </si>
  <si>
    <t>механическая</t>
  </si>
  <si>
    <t xml:space="preserve">Штрих </t>
  </si>
  <si>
    <t>Штрих ручка</t>
  </si>
  <si>
    <t>DVD диск</t>
  </si>
  <si>
    <t>DVD диск с жесткими футлярями</t>
  </si>
  <si>
    <t>Плоттер А0</t>
  </si>
  <si>
    <t xml:space="preserve"> Epson SureColor SC-T5200 (Т7200)</t>
  </si>
  <si>
    <t>Сканер широкоформатный А0</t>
  </si>
  <si>
    <t>Contex HD ULTRA X 4250 формата А0</t>
  </si>
  <si>
    <t>Планшетный сканер А1</t>
  </si>
  <si>
    <t>Contex IQ Flex формата А2+ (А1)</t>
  </si>
  <si>
    <t>L1300 (A3+)</t>
  </si>
  <si>
    <t>Источник бесперебойного питания</t>
  </si>
  <si>
    <t xml:space="preserve"> UPS 1200VA</t>
  </si>
  <si>
    <t>Циркуль измеритель</t>
  </si>
  <si>
    <t>Рация Motorola Talkabout T42</t>
  </si>
  <si>
    <t>Лупа геологическая 20 кратная</t>
  </si>
  <si>
    <t>Компас горно-геологический ГГК (КГГ-1) Арт. 1892300091</t>
  </si>
  <si>
    <t xml:space="preserve">Производитель: Tramp, Вес: 2.10кг
Размер в упаковке (Д*Ш*В): 45.00см x 28.00см x 28.00см, Размер (Д*Ш*В): 185*80*55 см.
Молния: Правая, Т комфорта: -5
T экстрима: -25, Модель 2020 года. Код: TRS-050C </t>
  </si>
  <si>
    <t>AVT-2000 AVR, 2000BA</t>
  </si>
  <si>
    <t xml:space="preserve">Компютер </t>
  </si>
  <si>
    <t xml:space="preserve">Printer A4 </t>
  </si>
  <si>
    <t>Canon i-SENSYS MF445dw</t>
  </si>
  <si>
    <t>Printer A3</t>
  </si>
  <si>
    <t>2 ТБ Внешний HDD Transcend StoreJet 25M3, USB 3.0, стальной серый</t>
  </si>
  <si>
    <t xml:space="preserve">Fleshka </t>
  </si>
  <si>
    <t>Флешка Kingston DataTraveler DTSE9G2 128 Gb 3.1</t>
  </si>
  <si>
    <t xml:space="preserve"> AA  E-91</t>
  </si>
  <si>
    <t>Органайзер</t>
  </si>
  <si>
    <t>Органайзер 38251 Deli 17 предметов</t>
  </si>
  <si>
    <t>ЕХ 1Мб Х ГОСТ 31610,35-1</t>
  </si>
  <si>
    <t>Оригинальная емкость для отработанных чернил Памперс Canon Maintenance Cartridge MC10 на плоттер</t>
  </si>
  <si>
    <t>Оригинальная емкость для отработанных чернил  для моделей iPF650, iPF655, iPF750, iPF755, iPF760, iPF765, iPF670, iPF680, iPF685, iPF770, iPF780, iPF785, iPF830., iPF840., iPF850</t>
  </si>
  <si>
    <t>рул</t>
  </si>
  <si>
    <t>пачка</t>
  </si>
  <si>
    <t xml:space="preserve">Бумага А4 (DOUBLE A)  </t>
  </si>
  <si>
    <t xml:space="preserve">Бумага для офисной техники Double A, формат А4, 80 гр/м2, класс А, 500 листов 
Бумага DOUBLE A </t>
  </si>
  <si>
    <t>Зажим для бумаги Deli (41 мм)</t>
  </si>
  <si>
    <t>Зажимы для бумаг изготовленные из стали с цветным покрытием, предназначены для скрепления документов без использования степлера. Благодаря особой конструкции зажимы позволяют легко скреплять до 140 листов. Не деформируют и не мнут бумагу.</t>
  </si>
  <si>
    <t>пач.</t>
  </si>
  <si>
    <t>Карандаш черный  с резинкой НВ Deli  E38029 12 штук в упаковке</t>
  </si>
  <si>
    <t xml:space="preserve">Твердость - HB (твердо-мягкий).
Высококачественный ударопрочный грифель диаметром - 2,2 мм
</t>
  </si>
  <si>
    <t>Карандаш черный 2В Deli 58106, 30 штук в упаковке</t>
  </si>
  <si>
    <t xml:space="preserve">Твердость - B (мягкий).
Высококачественный ударопрочный грифель диаметром - 2,2 мм
</t>
  </si>
  <si>
    <t>Карандаши цветные Maped (24 цв., Color Peps Duo)</t>
  </si>
  <si>
    <t>Клейкая лента 12мм*20м Deli 30014</t>
  </si>
  <si>
    <t>Клейкая лента это не заменимая вещь в офисе либо дома. Клейкая лента клеит бумагу либо бумажные изделия так как на другие поверхности не хватает клейкого вещества. Канцелярская клейкая лента полностью прозрачная, поэтому вам не стоит бояться заклеить область с текстом.</t>
  </si>
  <si>
    <t>Лента упаковочная полимерная с липким слоем Skotch.uz (ПЭ 4.5*300м)</t>
  </si>
  <si>
    <t>Клейкая лента представляет собой  пленку с нанесенными клеевыми покрытиями. Данную модель ленты изготавливают  из качественных материалов полиэтилена и бумаги, а также фольги и других различных изделий. Ленту применяют в офисах, для упаковок различных грузов, приклеивание картона и бумаги. Также существуют несколько видов клейкой ленты: алюминиевая, металлизированная, двухсторонняя и молярная. Благодаря ширине ленты облегчается работа при использовании. Надежные и качественные клейкие ленты, продоваемые в нашем магазине, подарит вам высокое качество и долгий срок службы и вы останетесь довольными покупкой.</t>
  </si>
  <si>
    <t>Линейка метал. 30 см. Deli EH651</t>
  </si>
  <si>
    <t>Линейка предназначена для чертёжных и измерительных работ. Изготовлена из высококачественной пружинистой стали.
Линейка обладает четкой разметкой, что делает ее удобной в использовании.
Устойчива к деформации.</t>
  </si>
  <si>
    <t>Маркер перманентный чёрний</t>
  </si>
  <si>
    <t>Цвет - черный
Толщина линии – 0,5-1 мм.
Маркер перманентный от производителя Deli – незаменимый помощник в создании надписей на различных поверхностях толщиной линии до 1 мм. Такой маркер удобен в использовании, служит продолжительное время, так как заправлен высококачественными чернилами на спиртовой основе. Продукция Deli – это европейские технологии и стандарты качества, огромный ассортимент, который удовлетворяет запросы широкого круга потребителей, и конкурентоспособные цены.</t>
  </si>
  <si>
    <t>Усиленный нож в прочном пластиковом корпусе со стальным выдвижным многосекционным лезвием и металлической направляющей. Прорезиненные вставки. Снабжен системой блокировки лезвия. Предназначен для выполнения работ с мощной загрузкой. Ширина лезвия - 18мм.</t>
  </si>
  <si>
    <t>Папка регистр</t>
  </si>
  <si>
    <t>Файл - регистр А4 LF 2763 Sunwood 
формата А4, ширина 4,5 см
Папка регистратор – это жесткая папка с арочным механизмом крепления бумажных документов или файлов с документами.
Удобный и практичный элемент, составляющий основу архивного хранения документации и организации документооборота.
Канцтовары ООО «AKVA» представлены в г. Ташкенте всемирно известными брендами, отличаются высоким качеством и конкурентными ценами.
Условия оплаты: канцтовары реализуются в национальной валюте Республики Узбекистан, по безналичному расчету или по Корпоративной и личной пластиковым карточкам</t>
  </si>
  <si>
    <t xml:space="preserve">Ручка шариковая Deli 309 (синий) </t>
  </si>
  <si>
    <t>Ручка шариковая (синяя) Deli EQ02130
Ручка - неотъемлемый канцелярский предмет. Ручка это самый популярный инструмент для письма в современном мире. На данный момент есть ручки гелевые и шариковые с обычными чернилами.</t>
  </si>
  <si>
    <t>Скоба 10 1000шт Deli Е0010N</t>
  </si>
  <si>
    <t>Скобы для степлера - Deli № 10 E0010N
Упаковка – 1000 шт.
Канцелярский степлер обязательно должен быть оснащен скобами. Скобы для степлера Deli применяются для скрепления листов бумаги и являются незаменимой канцелярской принадлежностью. Для защиты от коррозии они имеют оцинкованное покрытие. Скобы изготовлены из стали высокого качества и имеют П-образную форму. Продукция Deli – это европейские технологии и стандарты качества, огромный ассортимент, который удовлетворяет запросы широкого круга потребителей, и конкурентоспособные цены.</t>
  </si>
  <si>
    <t>уп.</t>
  </si>
  <si>
    <t>Скоросшиватель (дело)</t>
  </si>
  <si>
    <t>Скоросшиватель картонный , гарантированная плотность 220 г/м2, до 200 листов</t>
  </si>
  <si>
    <t>Файл 0,06 100шт 20202 Deli</t>
  </si>
  <si>
    <t>Перфофайл, 100 шт, 0,6мк Deli 20202
Перфофайлы предназначены для защиты документов и бумаг от внешних воздействий. Состоят перфофайлы из полимерного материала, поэтому прослужат они вам долгою</t>
  </si>
  <si>
    <t>Штрих-корректор-ручка Deli E7287</t>
  </si>
  <si>
    <t>Корректирующий карандаш-замазка, корпус-дозатор, с тонким металлическим наконечником 0.02 mm, объем 8 мл</t>
  </si>
  <si>
    <t>Ручка гелевая(синяя)</t>
  </si>
  <si>
    <t xml:space="preserve">84879 Ручка гелевая с цветными чернилами с блестками  0,5мм (ассорти) в дисплее  </t>
  </si>
  <si>
    <t>Ручка гелевая(черная)</t>
  </si>
  <si>
    <t>Ручка гелевая(красная)</t>
  </si>
  <si>
    <t>Ручка гелевая(зеленая)</t>
  </si>
  <si>
    <t>Ручка гелевая(фиолетовая)</t>
  </si>
  <si>
    <t>Ручка гелевая(голубой)</t>
  </si>
  <si>
    <t>Скрепки</t>
  </si>
  <si>
    <t>Высококачественные скрепки из стальной проволоки
Скрепки  металлические  33мм прочные   
В пачке 100шт</t>
  </si>
  <si>
    <t>Скобы для степлера</t>
  </si>
  <si>
    <t xml:space="preserve">Скобы для степлера №24/6 "Deli" применяются для скрепления листов бумаги. Для защиты от коррозии скобы имеют оцинкованное покрытие. Они изготовлены из металла высокого качества и имеют заостренные концы. Плавное сшивание. </t>
  </si>
  <si>
    <t>Ручка синяя шариковая</t>
  </si>
  <si>
    <t>Канцелярские товары - неотъемлемая часть бесперебойной и слаженной работы офисов и организаций. Канцтовары необходимы каждому человеку практически с того времени, как ребенок научится держать ручку в руках.  Наш магазин предлагает Вашему вниманию широкий ассортимент канцелярских товаров от ведущих отечественных и мировых производителей. Вы можете найти у нас все, что нужно как школьнику, так и для работы крупной организации.  Мы предлагаем для своих клиентов самые выгодные условия для приобретения товара, в чём Вы можете убедиться лично. У нас отличный сервис, наши менеджера и консультанты предоставят вам полную информацию по товарам и их стоимости</t>
  </si>
  <si>
    <t>Степлер Deli E0424</t>
  </si>
  <si>
    <t>Степлер это не заменимая вещь в офисе, при помощи которой люди скрепляют бумагу для сортировки. Степлер может быть как маленького размера так и большого, в свою очередь от размера зависит численность скрепляемых предметов. Так же скобы используемые для скрепления легко можно заменить либо добавить не прилагая к этому большого усилия.</t>
  </si>
  <si>
    <t>Карандаш черный Deli</t>
  </si>
  <si>
    <t>В нашем интернет магазине канцтовары для офиса и школы представлены в большом ассортименте по низким ценам. Удобные в эксплуатации и стильные по оформлению канцтовары станут отличным рабочим инструментом для вас и вашего ребенка. Все виды товара изготовлены из высококачественных и долговечных гипоаллергенных материалов, которые перед использованием в производственном процессе подвергаются тщательной проверке.</t>
  </si>
  <si>
    <t>Точилка механическая, Deli 0616B</t>
  </si>
  <si>
    <t>Канцелярские товары – неотъемлемая часть бесперебойной и слаженной работы офисов и организаций. Канцтовары необходимы каждому человеку практически с того времени, как ребенок научится держать ручку в руках.  Наш магазин предлагает Вашему вниманию широкий ассортимент канцелярских товаров от ведущих отечественных и мировых производителей. Вы можете найти у нас все, что нужно как школьнику, так и для работы крупной организации.  Мы предлагаем для своих клиентов самые выгодные условия для приобретения товара, в чём Вы можете убедиться лично. У нас отличный сервис, наши менеджера и консультанты предоставят вам полную информацию по товарам и их стоимости!</t>
  </si>
  <si>
    <t>Маркер Luxor 900, 0.7 мм, черный</t>
  </si>
  <si>
    <t>Перманентный маркер предназначен для нанесения надписей на любую поверхность. Благодаря спиртовой основе, чернила после нанесения быстро высыхают и не стираются. Толщина линии - 0.7 мм</t>
  </si>
  <si>
    <t>Ножницы Deli E77762</t>
  </si>
  <si>
    <t xml:space="preserve">Канцелярские ножницы широко применяются дома, в учебных заведениях, офисе. Они предназначены для разрезания любых видов бумаги и картона. Ножницы имеют гибкие эргономичными кольца, которые обеспечивают удобный захват, что очень комфортно при длительном использовании. Заостренные лезвия сделаны из высококачественной нержавеющей стали, которые отлично режут и не мнут бумагу. </t>
  </si>
  <si>
    <t>Органайзер Deli Е38254</t>
  </si>
  <si>
    <t>В офисах используют органайзеры для хранения канцелярии.</t>
  </si>
  <si>
    <t>Калкулятор Разрядность 12.0</t>
  </si>
  <si>
    <t>Страна производитель Китай Тип Бухгалтерский Вид Настольный Разрядность 12.0 Размеры Длина 192.0(мм) Ширина 147.0(мм) Толщина 42.0(мм) Дополнительные характеристики Лицевое покрытие Металл Двойное питание Батарейка и солнечная батарея Память Две ячейки памяти Настольный калькулятор DM1200-12 применяется для математических расчетов. Этот калькулятор оснащен жидкокристаллическим 12-разрядным дисплеем и единой схемой питания, которая состоит из солнечной батарейки и элемента питания типа ААА. Благодаря тому, что лицевая панель калькулятора покрыта металлом, ему не страшны механические повреждения. Данная модель имеет такие функции, как автоматическое отключение, расчет процентов, квадратного корня, возврат последней цифры, записи числа в память</t>
  </si>
  <si>
    <t>Журнал Баннер</t>
  </si>
  <si>
    <t>Производство – Узбекистан
Количество листов - 40
Линовка - в клетку
Плотность - 55 г/кв.м
Тип обложки - мягкая
Формат - А4</t>
  </si>
  <si>
    <t>Бумага рулонная</t>
  </si>
  <si>
    <t>Бумага без покрытия для черно-белой струйной печати.  80 г/м  12х297 мм х50м диаметр втулки 50,8мм</t>
  </si>
  <si>
    <t xml:space="preserve">Бумага для плоттера (STARLEES TRED) 914 x 50,8 x 50 плотность 80г/м2 </t>
  </si>
  <si>
    <t>Тип товара: бумага
Ширина рулона: 914 мм
Плотность бумаги: 80 г/м2
Наличие покрытия: нет
Диаметр втулки: 50.8 мм
Длина рулона: 50.8 м
Серия: Standard
Белизна по CIE: 146 %
Количество в комплекте: 1 шт</t>
  </si>
  <si>
    <t>Сообщите о неверной информации
Лоток вертикальный Deli 9832</t>
  </si>
  <si>
    <t>Лоток для бумаг предназначен для хранения бумаг и документов формата А4. Лоток, изготовленный из качественного полистирола, с устойчивым, вместительным, прочным сетчатым корпусом является незаменимым атрибутом рабочего стола.</t>
  </si>
  <si>
    <t>Сильвия CHROME кз черный (стул)</t>
  </si>
  <si>
    <t>Главные преимущества данного стула заключаются в его мобильности и цене. Его можно с легкостью переставлять в разные уголки кабинета. А приобрести данную модель можно очень выгодно для себя. При согласовании с менеджером можно заказать в другой расцветке.</t>
  </si>
  <si>
    <t>Руководительское кресло 2327</t>
  </si>
  <si>
    <t>Механизм покачивания и пневматический подъемник даст возможность Вам настроить кресло под себя и свои желания, зависимо от роста и того, к чему душа лежит. Отделка из кожзаменитель черного классического цвета с легкостью облегает каркас из дерева, цвета темного ореха. Мощное кресло мобильно за счет колес, которые надежно закреплены на крестовине, дает Вам возможность перемещать кресло без приложения особых сил</t>
  </si>
  <si>
    <t>Шкаф NW 2080/2G со стеклом вяз натуральный/бежевый</t>
  </si>
  <si>
    <t>Габариты и вес ВхШхГ, мм 2030х800х420 Высота, мм 2030
Ширина, мм 800 Глубина, мм 420 Вес, кг 84</t>
  </si>
  <si>
    <t>Компьютерный стол КСТ-08.1</t>
  </si>
  <si>
    <t xml:space="preserve">Пристенный компьютерный стол. Столешница имеет анатомическую форму изготовлена из высококачественного ДСП отечественного производства толщиной 16 мм, отделана противоударной кромкой ПВХ. Стол оснащен тумбой с тремя ящиками и полкой под системный блок. Полочка под клавиатуру имеет размеры 650 х 356 мм.
Пристенный компьютерный стол. Столешница имеет анатомическую форму изготовлена из высококачественного ДСП отечественного производства толщиной 16 мм, отделана противоударной кромкой ПВХ. Стол оснащен тумбой с тремя ящиками и полкой под системный блок. Полочка под клавиатуру имеет размеры 650 х 356 мм.
</t>
  </si>
  <si>
    <t>Кулеры для воды EcoCool 64LA</t>
  </si>
  <si>
    <t>Кулер, который вписывается в любой интерьер, благодаря серебристому цвету корпуса и боковых металлических стенок. Сочетает стиль, один из тех аппаратов, который можно смело назвать цена-качество. Удобные краники "Нажим кружкой". Вентиляционный диспенсер охладит воду до оптимальной температуры, а тэн нагреет воду для подачи кипятка. В нижней части аппарата предусмотрен шкафчик на 16л. для хранения непортящихся продуктов.</t>
  </si>
  <si>
    <t>Микроволновая печь</t>
  </si>
  <si>
    <t>Холодильник</t>
  </si>
  <si>
    <t>Кондиционер зима-лето Gree 9-12-18-24</t>
  </si>
  <si>
    <t>Производительность охлаждения, кВт  3,5
Производительность обогрева, кВт 3,8
Потребляемая мощность в режиме охлаждения, кВт 1,08
Потребляемая мощность в режиме обогрева, кВт 1,07
Потребляемый ток в режиме охлаждения, А  4,8
Потребляемый ток в режиме обогрева, А  4,4
Параметры электросети, Ф/В/Гц  1/220/50
Производительность внутреннего блока, м3/час 630
Размер внутреннего блока (ШхГхВ), мм 848?274?189
Размер наружного блока (ШхГхВ), мм 848?320?540
Вес внутреннего блока, кг 10</t>
  </si>
  <si>
    <t>Штрих, корректор ленточный</t>
  </si>
  <si>
    <t>Штрих лента для исправления некорректных надписей в бумаге</t>
  </si>
  <si>
    <t>Геофизика бўлимидаги маьлумотларни сақлаш   учун</t>
  </si>
  <si>
    <t>Геофизика бўлимидаги маьлумотларни сақлаш  учун</t>
  </si>
  <si>
    <t>Геофизика бўлимидаги маьлумотларини қайта ишлаш учун</t>
  </si>
  <si>
    <t>Геофизика бўлимидаги маьлумотларни қайта ишлаш  учун</t>
  </si>
  <si>
    <t>Геофизика бўлимидаги маьлумотларини сақлаш  учун</t>
  </si>
  <si>
    <t xml:space="preserve">Геофизика бўлимидаги маьлумотларни сқлаш учун </t>
  </si>
  <si>
    <t>Геофизика бўлимидаги маьлумотларни  икки нусхада чиқаришда ишлатилинади</t>
  </si>
  <si>
    <t>Тажриба методика бўлимидаги маьлумотларни чоп этиш учун</t>
  </si>
  <si>
    <t>Тажриба методика бўлимидаги маьлумотларни сақсаш учун</t>
  </si>
  <si>
    <t>Геофизика бўлимида ишчи ходимларнинг фойдаланиши учун</t>
  </si>
  <si>
    <t>Геофизика бўлимида  ходимларнинг фойдаланиши учун</t>
  </si>
  <si>
    <t xml:space="preserve"> Геофизика бўлимидаги маьлумотларни сақлаш учун </t>
  </si>
  <si>
    <t xml:space="preserve"> Геофизика бўлимидаги компьютерларни жойлаш учун </t>
  </si>
  <si>
    <t>Для обогрева и охлаждения в летний период в рабочих помещениях</t>
  </si>
  <si>
    <t>к-т</t>
  </si>
  <si>
    <t>Диэлектрические боты</t>
  </si>
  <si>
    <t>Изолента ASMACO GOLD 0.185mm x 19mm</t>
  </si>
  <si>
    <t xml:space="preserve">Изолента ASMACO GOLD 0.185mm x 19mm.
</t>
  </si>
  <si>
    <t>Мультиметр DT-9205А</t>
  </si>
  <si>
    <t>Напряжение постоянного тока: 200 мВ/2 В/20 В/200 В/1000 В
Напряжение переменного тока: 200 мВ/2 В/20 В/200 В/700 В
Ток постоянного тока: 2 мА/20 мА/200 мА/20А
Ток переменного тока: 2 мА/20 мА/200 мА/20А
Сопротивление: 200/2К/20К/200К/2М/20М/200М
Емкость: 200Ф/20Ф/2Ф/200нФ/20нФ
Предохранитель: 250 В / 0,2 А
Рабочая температура: от -20°C до 400°C
Источник питания: требуется 1 батарея 9 В (не входит в комплект)
Вес: прибл. 335 г / 11,8 унции</t>
  </si>
  <si>
    <t>Солнечный прожектор</t>
  </si>
  <si>
    <t>Провод ПУГНП 2х4</t>
  </si>
  <si>
    <t> Две многопроволочные медные токопроводящие жилы номинальным сечением 4 мм2, конструктивно соответствующие не менее чем 2 классу по ГОСТ 22483-2012 ; Изоляция из ПВХ пластиката номинальной толщиной 0,3 мм.; Номинальное переменное напряжение 250 В частотой 50 Гц; Испытательное напряжение изоляции на проход 2000 В.Сопротивление жил при 20 °С не более 10,9 Ом/км</t>
  </si>
  <si>
    <t>Электродвигатель</t>
  </si>
  <si>
    <t>Все технические параметры одна фазного электродвигателя АИР80 B2 являются типовыми и соответствуют стандарту ГОСТ 183-74. АИР80 B2 имеет мощность 2,2 кВт при частоте вращения вала 3000 об/мин. Они используются для привода вентиляционного оборудования, насосов, компрессорных установок, станков, эскалаторов и многих других машин.</t>
  </si>
  <si>
    <t>Калорифер 15квт 380в</t>
  </si>
  <si>
    <t xml:space="preserve">Масляный обогреватель </t>
  </si>
  <si>
    <t>Кабель гибкий КГ 1х10</t>
  </si>
  <si>
    <t xml:space="preserve">Кабель гибкий КГ предназначен для присоединения передвижных механизмов к электрическим сетям на номинальное переменное напряжение 380 В частоты до 400 Гц или постоянное номинальное напряжение 660 В. Технические характеристики.  Сечение жил, mm²: 10.  Количество жил: 1.  Материал жил: Медь.  Тип жилы: Многожильный.     Изоляция кабеля (провода): Резиновая.    Назначение: Кабели КГ могут использоваться в заземляющих устройствах, а также для осуществления различных видов электротехнических работ.    </t>
  </si>
  <si>
    <t>Фонарь налобный с увеличением 3Вт на батарейках</t>
  </si>
  <si>
    <t>Марка: YATO YT-08590 (Польша) Описание   Регулируемый размер светового пятна.  Регулируемый наклон фонаря.  3 режима работы: яркий, тусклый и мигающий.  Питание: 3 пальчиковые батарейки размера ААА (как в пульте для телевизора), в комплект не входят.  . Класс защиты  водонепроницаемый.  Мощность Вт 3.   Световой поток люминов 100.</t>
  </si>
  <si>
    <t>Паяльник электрический INGCO SI 00108</t>
  </si>
  <si>
    <t>Паяльник электрический 100 Вт INGCO SI00108 INDUSTRIAL может быть использован для решения широкого круга задач, например: ремонт проводов, пайка и замена радиодеталей, ремонт тонкостенных металлических трубных соединений, быстрый прожиг отверстий в пластике, отрезка лишних частей в пластиковых деталях и корпусах. В комплекте подставка и долговечное жало.</t>
  </si>
  <si>
    <t>Энергетика</t>
  </si>
  <si>
    <t>Источники бесперебойного питания UPS Must W3000VA</t>
  </si>
  <si>
    <t xml:space="preserve">UPS Must W3000VA - это линейно-интерактивный источник питания. ИБП такого типа оборудуются встроенным автотрансформатором, который помогает компенсировать данные колебания при отклонении напряжения в сети от номинального уровня. Осуществляет он это посредством переключения своих обмоток. </t>
  </si>
  <si>
    <t xml:space="preserve">Принтер Canon </t>
  </si>
  <si>
    <t>Устройство - принтер
Цветность печати - черно-белая
Технология печати - лазерная
Размещение - настольный
Область применения - средний офис
Количество страниц в месяц - 80000</t>
  </si>
  <si>
    <t>Acer Predator Helios 300 Notebook                             (i5-11400H/RTX3060)</t>
  </si>
  <si>
    <t>Экран: 15.6'' FullHD IPS 144Hz
Процессор: Intel® Core™ i5-11400H (2.7 GHz - 4.5 GHz) (6-Ядeр; 12-Потоков)
Видеокарта: GeForce RTX™ 3060 NVIDIA® 6GB/192Bit/GDDR6
ОЗУ: 32GB DDR4
Накопитель: 1024GB PCIe® NVMe™ M.2 SSD</t>
  </si>
  <si>
    <t>UPS AVT AVT-850AVR KS850</t>
  </si>
  <si>
    <t>Технические характеристики UPS
Входное напряжение 140 - 300 В
Интерфейсы USB
Розетки Тип-Евро
Мощность 850вт</t>
  </si>
  <si>
    <t>Флешка Lexar M45 3.1 64GB 250MB/s</t>
  </si>
  <si>
    <t xml:space="preserve">Основные характеристики 
Интерфейс - USB 3.1
Интерфейс - USB Type-A
Максимальная скорость чтения  - 250 МБ/с
ппаратное шифрование данных  - есть </t>
  </si>
  <si>
    <t>Внешний HDD Transcend StoreJet 25H3 4TB</t>
  </si>
  <si>
    <t>Характеристики
Материал корпуса пластик
Объем буфера 8 МБ Ширина 80 мм. Длина 130 мм
Защита от внешних последствий от ударов
Скорость вращения 5400 об/мин
Интерфейс USB USB 3.0 Тип HDD
Форм-фактор 2.5" Емкость 4 ТБ Бренд Transcend</t>
  </si>
  <si>
    <t>Печатающая головка плоттера HP DesignJet T-120, T-520 (C1Q10A)</t>
  </si>
  <si>
    <t>Тип печатающая головка,Производитель принтера HP Комплект,Совместимые принтерыHP DesignJet T120, T520.Дополнительная информация печатающая головка, пробные черный, голубой, желтый и пурпурный картриджи.Срок службы 12 мес., Использовать при температуре не ниже -10 градусов</t>
  </si>
  <si>
    <t>Клавиатура и мышь</t>
  </si>
  <si>
    <t xml:space="preserve">Комплектация - клавиатура и мышь
Назначение - настольный компьютер
Интерфейс подключения - USB
Цвет - черный
Трекбол - нет
Конструкция - классическая
Цифровой блок - есть
Тип - мембранная
Количество клавиш - 104
Мышь - Тип - оптическая светодиодная
Дизайн - для правой и левой руки
Колесо прокрутки - есть
Количество клавиш - 4
</t>
  </si>
  <si>
    <t>Картриж плотер HP Design Jet t-120 (CZ129A)38ml-чёрный</t>
  </si>
  <si>
    <t>Картриж плотер HP Design Jet Т-120  №711</t>
  </si>
  <si>
    <t>Картриж плотер HP Design Jet t-120 (CZ130A)29ml-синий</t>
  </si>
  <si>
    <t>Картриж плотер HP Design Jet t-120 (CZ131A)29ml-красный</t>
  </si>
  <si>
    <t>Картриж плотер HP Design Jet Т-120 №711</t>
  </si>
  <si>
    <t>Картриж плотер HP Design Jet t-120 (CZ132A)29ml-жёлтый</t>
  </si>
  <si>
    <t>Комплект оригинальных  картриджей №72 польный набор 6 шт по.130 мл</t>
  </si>
  <si>
    <t>Картридж плотер HP DESIGNJET T795</t>
  </si>
  <si>
    <t>ком-т</t>
  </si>
  <si>
    <t xml:space="preserve"> Геофизика бўлимидаги хозирги кунгача ишлатилиб келинган 4 дона ноутбуклар хозирги кундаги программаларда ишлашда қотиб қолиши кўп кузатилмоқда (2014й-1 дона, 2015й-2 дона 2018й-1дона), қудуқларда геофизик тадқиқот ишларни сифатли олиб боришда ва маълумотларни сақлаш учун </t>
  </si>
  <si>
    <t>Тажриба методика бўлимидаги маьлумотларни қайта ишлаш  учун</t>
  </si>
  <si>
    <t>трубы</t>
  </si>
  <si>
    <t>Наружная труба NQ 1.5 M/5.0 FT</t>
  </si>
  <si>
    <t>Наружная труба NQ 3.0 M/10.0 FTT</t>
  </si>
  <si>
    <t>Труба внутренняя, NQ 1.5 M/5.0 FT</t>
  </si>
  <si>
    <t>Труба внутренняя, NQ 3.0 M/10.0 FT</t>
  </si>
  <si>
    <t>Наружная труба НQ 1.5 M/5.0 FT</t>
  </si>
  <si>
    <t>Наружная труба НQ 3.0 M/10.0 FTT</t>
  </si>
  <si>
    <t>Труба внутренняя, НQ 1.5 M/5.0 FT</t>
  </si>
  <si>
    <t>Труба внутренняя, НQ 3.0 M/10.0 FT</t>
  </si>
  <si>
    <t>Наружная труба РQ 1.5 M/5.0 FT</t>
  </si>
  <si>
    <t>Наружная труба РQ 3.0 M/10.0 FTT</t>
  </si>
  <si>
    <t>Труба внутренняя, РQ 1.5 M/5.0 FT</t>
  </si>
  <si>
    <t>Труба внутренняя, РQ 3.0 M/10.0 FT</t>
  </si>
  <si>
    <t xml:space="preserve">Труба бурильная NWL-TR 3,0 м         </t>
  </si>
  <si>
    <t xml:space="preserve">Труба бурильная HWL-TR 3,0 м         </t>
  </si>
  <si>
    <t xml:space="preserve">Труба бурильная NWL-TR 1,5 м         </t>
  </si>
  <si>
    <t xml:space="preserve">Труба бурильная HWL-TR 1,5 м         </t>
  </si>
  <si>
    <t xml:space="preserve">Труба бурильная PWL-TR 3,0 м         </t>
  </si>
  <si>
    <t xml:space="preserve">Труба бурильная PWL-TR 1,5 м         </t>
  </si>
  <si>
    <t>Верхняя часть керноприемника, колонковый набор NQ</t>
  </si>
  <si>
    <t>Головка внутренней керноприемной трубы в сборе NQ</t>
  </si>
  <si>
    <t>Основание грибка</t>
  </si>
  <si>
    <t>Шпилька</t>
  </si>
  <si>
    <t>Кожух корпуса стопоров</t>
  </si>
  <si>
    <t>Шайба пружины стопоров</t>
  </si>
  <si>
    <t>Пружина стопоров</t>
  </si>
  <si>
    <t>Корпус стопора верхняя часть</t>
  </si>
  <si>
    <t xml:space="preserve">Стопор </t>
  </si>
  <si>
    <t>Тяга</t>
  </si>
  <si>
    <t>Опорное кольцо</t>
  </si>
  <si>
    <t>Корпус стопора нижняя часть</t>
  </si>
  <si>
    <t>Гайка шпинделя</t>
  </si>
  <si>
    <t>Шайба сигнализатора</t>
  </si>
  <si>
    <t xml:space="preserve">Подшипник упорный </t>
  </si>
  <si>
    <t>Шпиндельный центратор</t>
  </si>
  <si>
    <t xml:space="preserve">Подшипник подвески </t>
  </si>
  <si>
    <t>Пружина головки керноприемника</t>
  </si>
  <si>
    <t>Стопорная гайка</t>
  </si>
  <si>
    <t>Колпачек внутренней трубы</t>
  </si>
  <si>
    <t>Клапан переходника внутренней трубы</t>
  </si>
  <si>
    <t>Стопорное кольцо кернорвателя</t>
  </si>
  <si>
    <t xml:space="preserve">Кольцо кернорвательное </t>
  </si>
  <si>
    <t>Корпус кернорвательный</t>
  </si>
  <si>
    <t>Релитовый переходник с твердосплавными ребрами (для штанги WL)</t>
  </si>
  <si>
    <t>Переходная муфта</t>
  </si>
  <si>
    <t>Посадочное кольцо</t>
  </si>
  <si>
    <t>Верхняя часть керноприемника, колонковый набор HQ</t>
  </si>
  <si>
    <t>Головка внутренней керноприемной трубы в сборе HQ</t>
  </si>
  <si>
    <t>Шпиндель головки керноприемника</t>
  </si>
  <si>
    <t xml:space="preserve">манжеты сигнализаторы, жесткие </t>
  </si>
  <si>
    <t>Бронзовый стабилизатор</t>
  </si>
  <si>
    <t>Общие комплектующие NQ;HQ;PQ.</t>
  </si>
  <si>
    <t xml:space="preserve">Грибок керноприёмника </t>
  </si>
  <si>
    <t xml:space="preserve">Пружина грибка керноприемника                         </t>
  </si>
  <si>
    <t xml:space="preserve">Плунжер стопорный                             </t>
  </si>
  <si>
    <t>Болт головки керноприемника</t>
  </si>
  <si>
    <t xml:space="preserve">Шар </t>
  </si>
  <si>
    <t>Масленка</t>
  </si>
  <si>
    <t>Втулка индикатора посадки</t>
  </si>
  <si>
    <t>Гильза стальная обратного клапана</t>
  </si>
  <si>
    <t xml:space="preserve">Пружина удержания жидкости, слабая </t>
  </si>
  <si>
    <t xml:space="preserve">Пружина удержания жидкости, средняя </t>
  </si>
  <si>
    <t xml:space="preserve">Пружина удержания жидкости, жесткая </t>
  </si>
  <si>
    <t>Набор для бескернового бурения HQ;PQ.</t>
  </si>
  <si>
    <t>Регулировочный вал</t>
  </si>
  <si>
    <t>Разделительный патрубок</t>
  </si>
  <si>
    <t>Устройство для трехшарошечного долота на 2 3/8" / трехлопастного долота на N-4hx1"</t>
  </si>
  <si>
    <t>Ниппель бурильной трубы BW</t>
  </si>
  <si>
    <t>Бурильная труба BW 1500мм</t>
  </si>
  <si>
    <t>Кронштейн для трехшарошечного долота на 3 1/8" / трехлопастного долота на N-4hx1"</t>
  </si>
  <si>
    <t>Бурильная труба BW 5 футов</t>
  </si>
  <si>
    <t>Внутренняя керноприемная труба типа PWL для бескернового бурения х 5 футов / 1500 мм</t>
  </si>
  <si>
    <t>Внешняя колонковая труба х 5 футов/1500мм</t>
  </si>
  <si>
    <t>Трехлопастное долото для набора бескернового бурения HQ</t>
  </si>
  <si>
    <t>Трехшарошечное долото для набора бескернового бурения HQ</t>
  </si>
  <si>
    <t>Трехлопастное долото для набора бескернового бурения РQ</t>
  </si>
  <si>
    <t>Трехшарошечное долото для набора бескернового бурения РQ</t>
  </si>
  <si>
    <t>Надставной керноприемный набор NQ;HQ</t>
  </si>
  <si>
    <t>Муфта для внутренней колонковой трубы NQ</t>
  </si>
  <si>
    <t>Расширитель с твердосплавными пластинами NQ</t>
  </si>
  <si>
    <t>Муфта для внутренней колонковой трубы НQ</t>
  </si>
  <si>
    <t>Расширитель с твердосплавными пластинами НQ</t>
  </si>
  <si>
    <t>овершот</t>
  </si>
  <si>
    <t xml:space="preserve">Овершот в сборе </t>
  </si>
  <si>
    <t>Винтовая гильза</t>
  </si>
  <si>
    <t xml:space="preserve">Винт </t>
  </si>
  <si>
    <t xml:space="preserve">Зажим  </t>
  </si>
  <si>
    <t>Вал</t>
  </si>
  <si>
    <t>Гайка для вала</t>
  </si>
  <si>
    <t>Подшипник</t>
  </si>
  <si>
    <t>Стопорная гайка для вала</t>
  </si>
  <si>
    <t>Верхняя поддержка</t>
  </si>
  <si>
    <t>Винт для крепления стопорной оболочки</t>
  </si>
  <si>
    <t>Стопорная оболочка</t>
  </si>
  <si>
    <t>Шток</t>
  </si>
  <si>
    <t>Штоковая труба</t>
  </si>
  <si>
    <t>Крепежная гайка</t>
  </si>
  <si>
    <t>Крепежная шайба</t>
  </si>
  <si>
    <t>Крепежная втулка с фланцем</t>
  </si>
  <si>
    <t>Пружина стопорной втулки</t>
  </si>
  <si>
    <t>Стопорная втулка</t>
  </si>
  <si>
    <t>Подъемный захват</t>
  </si>
  <si>
    <t>Головная часть овершота</t>
  </si>
  <si>
    <t>Пружина подъемного захвата</t>
  </si>
  <si>
    <t>Шплинт быстросъемный</t>
  </si>
  <si>
    <t>Штифт для крепежа захвата</t>
  </si>
  <si>
    <t>Штифт для установки захвата</t>
  </si>
  <si>
    <t xml:space="preserve">Штифт для крепежа захвата </t>
  </si>
  <si>
    <t>Переходник</t>
  </si>
  <si>
    <t>Горизонтальный овершот</t>
  </si>
  <si>
    <t>Горизонтальный овершот NWL в сборе</t>
  </si>
  <si>
    <t>Корпус</t>
  </si>
  <si>
    <t>Стопорная гайка шпинделя</t>
  </si>
  <si>
    <t>Втулка</t>
  </si>
  <si>
    <t>Резиновое уплотнение</t>
  </si>
  <si>
    <t>Прижимная шайба</t>
  </si>
  <si>
    <t>Втулка управления</t>
  </si>
  <si>
    <t>Винт для крепежа втулки управления</t>
  </si>
  <si>
    <t>Ключ под винт крепежа втулки управления</t>
  </si>
  <si>
    <t>Камера привода NWL</t>
  </si>
  <si>
    <t>Уплотнительная резинка</t>
  </si>
  <si>
    <t>Легкий буровой промывочный сальник-вертлюг Т13</t>
  </si>
  <si>
    <t xml:space="preserve">Уплотнительное кольцо </t>
  </si>
  <si>
    <t>Уплотнительная прокладка</t>
  </si>
  <si>
    <t>Кожух</t>
  </si>
  <si>
    <t>Резиновая прокладка</t>
  </si>
  <si>
    <t>Подвесной подшипник</t>
  </si>
  <si>
    <t>Шпиндель</t>
  </si>
  <si>
    <t>Тяжелый буровой промывочный сальник-вертлюг Т25</t>
  </si>
  <si>
    <t>Болт Аллена</t>
  </si>
  <si>
    <t>Стопорная шайба</t>
  </si>
  <si>
    <t>Наголовник накидной с проушиной</t>
  </si>
  <si>
    <t>Прокладка переходного штуцера</t>
  </si>
  <si>
    <t>Переходной штуцер</t>
  </si>
  <si>
    <t>Нижняя крышка корпуса</t>
  </si>
  <si>
    <t>Прокладка</t>
  </si>
  <si>
    <t>Переходники для промывочного сальника-вертлюга</t>
  </si>
  <si>
    <t>Переходник для буровых труб NWL</t>
  </si>
  <si>
    <t>Переходник для буровых труб HWL</t>
  </si>
  <si>
    <t>Переходник для буровых труб PWL</t>
  </si>
  <si>
    <t>Вспомогательный инструмент</t>
  </si>
  <si>
    <t>Ключ внутренней трубы NQ</t>
  </si>
  <si>
    <t>Ключ наружной трубы NQ</t>
  </si>
  <si>
    <t>Ключ бурильной трубы NQ</t>
  </si>
  <si>
    <t>Ключ внутренней трубы HQ</t>
  </si>
  <si>
    <t>Ключ наружной трубы HQ</t>
  </si>
  <si>
    <t>Ключ бурильной трубы HQ</t>
  </si>
  <si>
    <t>Ключ внутренней трубы PQ</t>
  </si>
  <si>
    <t>Ключ наружной трубы PQ</t>
  </si>
  <si>
    <t>Ключ бурильной трубы PQ</t>
  </si>
  <si>
    <t>Подъемная заглушка TAN-6</t>
  </si>
  <si>
    <t>Переходник с бурильной трубы NWL на бурильную трубу HWL</t>
  </si>
  <si>
    <t>Переходник с бурильной трубы HWL на бурильную трубу PWL</t>
  </si>
  <si>
    <t>Аварийный инструмент</t>
  </si>
  <si>
    <t>Комплект выдвижного ловителя NWL</t>
  </si>
  <si>
    <t>Комплект выдвижного ловителя HWL</t>
  </si>
  <si>
    <t>Комплект выдвижного ловителя PWL</t>
  </si>
  <si>
    <t>Метчик бурильной трубы NWL</t>
  </si>
  <si>
    <t>Метчик бурильной трубы HWL</t>
  </si>
  <si>
    <t>Метчик бурильной трубы PWL</t>
  </si>
  <si>
    <t>Труборез для труб NWL</t>
  </si>
  <si>
    <t>Труборез для труб HWL</t>
  </si>
  <si>
    <t>Труборез для труб PWL</t>
  </si>
  <si>
    <t>Резцы трубореза NWL</t>
  </si>
  <si>
    <t>Резцы трубореза HWL</t>
  </si>
  <si>
    <t>Резцы трубореза PWL</t>
  </si>
  <si>
    <t xml:space="preserve">Сода кальценировання </t>
  </si>
  <si>
    <t>ГОСТ 5100-85</t>
  </si>
  <si>
    <t xml:space="preserve">Сода каустическая </t>
  </si>
  <si>
    <t xml:space="preserve">Глет свинцовый </t>
  </si>
  <si>
    <t>ГОСТ 9199-77</t>
  </si>
  <si>
    <t>Натрий тетраборнокислый (бура) Безводная</t>
  </si>
  <si>
    <t>ч ГОСТ 4199-76</t>
  </si>
  <si>
    <t xml:space="preserve">Мука для производства анализов </t>
  </si>
  <si>
    <t>1 сорт</t>
  </si>
  <si>
    <t xml:space="preserve">Бязь суровая (плотная) </t>
  </si>
  <si>
    <t>Плотность ткани - 155-170 гр/м2
ГОСТ 29298 - 2005</t>
  </si>
  <si>
    <t>Крафтовая бумага (серая, гладкая) А ф102см пл 70гр/м2</t>
  </si>
  <si>
    <t>гост-8273-75</t>
  </si>
  <si>
    <t>Тигли шамотные огнеупорные Т - 0.75</t>
  </si>
  <si>
    <t xml:space="preserve"> Т - 0.75 ГОСТ 8691-73</t>
  </si>
  <si>
    <t xml:space="preserve">Тигель стеклоуглеродный №5 V=40 ml. D=45 Н=45 В </t>
  </si>
  <si>
    <t>ТУ1916-027-27208846-01</t>
  </si>
  <si>
    <t>Тигель фарфоровый №3 низкий</t>
  </si>
  <si>
    <t>10ml D35 H26 Artikl 13000307</t>
  </si>
  <si>
    <t>Тигель фарфоровый №4</t>
  </si>
  <si>
    <t xml:space="preserve">Бумага фильтровальная ФС </t>
  </si>
  <si>
    <t>ГОСТ 12026-76</t>
  </si>
  <si>
    <t>фильтры беззольные (белая) лента д – 5,5 см</t>
  </si>
  <si>
    <t>ГОСТ 12026 -75</t>
  </si>
  <si>
    <t xml:space="preserve">Фильтры беззольные (синяя) лента д – 12,5 см </t>
  </si>
  <si>
    <t>ГОСТ 12026 -76</t>
  </si>
  <si>
    <t>Проволока нихром диаметр 1,8 мм</t>
  </si>
  <si>
    <t>Х20Н80</t>
  </si>
  <si>
    <t>Проволока нихром диаметр 1,0 мм</t>
  </si>
  <si>
    <t>Проволока нихром диаметр 5,0 мм</t>
  </si>
  <si>
    <t>Проволока нихром диаметр 3,0-4,0 мм</t>
  </si>
  <si>
    <t xml:space="preserve">Магнезитовый порошок -91% </t>
  </si>
  <si>
    <t>ППИУ-91</t>
  </si>
  <si>
    <t>Кирпич Магнезитовый -91%</t>
  </si>
  <si>
    <t xml:space="preserve">Кирпич шамотный ША-5- 230х114х65х45 </t>
  </si>
  <si>
    <t xml:space="preserve">ША-5- 230х114х65х45 </t>
  </si>
  <si>
    <t>Кирпич шамотный ША-1- 230х85х65х</t>
  </si>
  <si>
    <t>ША-1- 230х85х65х</t>
  </si>
  <si>
    <t>Асбест листовой КАОН 1,5</t>
  </si>
  <si>
    <t>КАОН 1,5</t>
  </si>
  <si>
    <t>Ткань асбестовая</t>
  </si>
  <si>
    <t>Диэлектрический коврик</t>
  </si>
  <si>
    <t>Графитовый электрод д-6</t>
  </si>
  <si>
    <t>ТУ3497-001-51046676-2007</t>
  </si>
  <si>
    <t>Кварцевая воронка для атомно-эмиссионного спектрометра</t>
  </si>
  <si>
    <t xml:space="preserve">Свинец чущковый С-1    </t>
  </si>
  <si>
    <t>ГОСТ 3778-98</t>
  </si>
  <si>
    <t>Пластины фотографические</t>
  </si>
  <si>
    <t>Кислота Ортофосфорная</t>
  </si>
  <si>
    <t xml:space="preserve">Сульфосалциловая кислота </t>
  </si>
  <si>
    <t>ХЧ ГОСТ 4478-78</t>
  </si>
  <si>
    <t xml:space="preserve">Соляная кислота </t>
  </si>
  <si>
    <t>ХЧ ГОСТ 3118-77</t>
  </si>
  <si>
    <t xml:space="preserve">Азотная кислота </t>
  </si>
  <si>
    <t>ХЧ ГОСТ 4461-77</t>
  </si>
  <si>
    <t xml:space="preserve">Серная кислота </t>
  </si>
  <si>
    <t>ХЧ ГОСТ 4204-77</t>
  </si>
  <si>
    <t xml:space="preserve">Уксусная кислота  </t>
  </si>
  <si>
    <t>ХЧ ГОСТ 61-75</t>
  </si>
  <si>
    <t>Хлорная кислота</t>
  </si>
  <si>
    <t xml:space="preserve">Плавиковая кислота </t>
  </si>
  <si>
    <t>ХЧ  ГОСТ 9285-78</t>
  </si>
  <si>
    <t xml:space="preserve">Винная кислота </t>
  </si>
  <si>
    <t>ХЧ ГОСТ 5817-77</t>
  </si>
  <si>
    <t>Кислота Борная кислота</t>
  </si>
  <si>
    <t xml:space="preserve">Аскорбиновая кислота </t>
  </si>
  <si>
    <t>ГОСТ 4815-76</t>
  </si>
  <si>
    <t xml:space="preserve">Изоамиловый спирт </t>
  </si>
  <si>
    <t>ХЧ ГОСТ 5830-79</t>
  </si>
  <si>
    <t>Ацетон</t>
  </si>
  <si>
    <t xml:space="preserve">Калий бихромат фиксонал  </t>
  </si>
  <si>
    <t>ГОСТ 2652-78</t>
  </si>
  <si>
    <t>Калий азотнокислый (силитра)</t>
  </si>
  <si>
    <t>Калий бром</t>
  </si>
  <si>
    <t>ГОСТ 4160-71</t>
  </si>
  <si>
    <t>Калий едкий</t>
  </si>
  <si>
    <t>ХЧ ГОСТ 10484-78</t>
  </si>
  <si>
    <t>Калий хлористый</t>
  </si>
  <si>
    <t>ГОСТ 4568-95</t>
  </si>
  <si>
    <t xml:space="preserve">Калий роданистый </t>
  </si>
  <si>
    <t>ХЧ ГОСТ 4139-75</t>
  </si>
  <si>
    <t xml:space="preserve">Тиомочевина </t>
  </si>
  <si>
    <t>ХЧ ГОСТ  6344 -73</t>
  </si>
  <si>
    <t xml:space="preserve">Ацетилен пиролизный </t>
  </si>
  <si>
    <t>ГОСТ 5457-75</t>
  </si>
  <si>
    <t>Тигли  фарфаровый 10 мл</t>
  </si>
  <si>
    <t>ГОСТ 25336-82</t>
  </si>
  <si>
    <t>Трилон Б кг</t>
  </si>
  <si>
    <t>ГОСТ 4151-72</t>
  </si>
  <si>
    <t xml:space="preserve">Фиксонал Трилон Б </t>
  </si>
  <si>
    <t>Аммоний хлористый</t>
  </si>
  <si>
    <t>ГОСТ 3773-72</t>
  </si>
  <si>
    <t xml:space="preserve">Барий хлористый </t>
  </si>
  <si>
    <t>ХЧ ГОСТ 4108-72</t>
  </si>
  <si>
    <t xml:space="preserve">Титан хлористый </t>
  </si>
  <si>
    <t>ХЧ ГОСТ 311-41</t>
  </si>
  <si>
    <t xml:space="preserve">Натрий едкий </t>
  </si>
  <si>
    <t>ХЧ ГОСТ 2263-79</t>
  </si>
  <si>
    <t xml:space="preserve">Натрий фосфорноватисто кислый </t>
  </si>
  <si>
    <t>ГОСТ 200-76</t>
  </si>
  <si>
    <t>Натрий тиосульфат</t>
  </si>
  <si>
    <t>ГОСТ 27068-86</t>
  </si>
  <si>
    <t>Натрий уксуснокислый 5-водный</t>
  </si>
  <si>
    <t>ГОСТ 199-78</t>
  </si>
  <si>
    <t>Натрия Сульфит</t>
  </si>
  <si>
    <t>ГОСТ 195-77</t>
  </si>
  <si>
    <t>Нитрат серебра</t>
  </si>
  <si>
    <t>Желатин пищевой</t>
  </si>
  <si>
    <t>ГОСТ П-11-78</t>
  </si>
  <si>
    <t>Индикатор Алюминон</t>
  </si>
  <si>
    <t>ГОСТ 9859-77</t>
  </si>
  <si>
    <t>Индикатор Дифениламин</t>
  </si>
  <si>
    <t>ГОСТ 194-80</t>
  </si>
  <si>
    <t>Индикатор Мурексид</t>
  </si>
  <si>
    <t>ГОСТ 4919.1-77</t>
  </si>
  <si>
    <t>Индикатор Эриохром черный</t>
  </si>
  <si>
    <t>ГОСТ 4517-2016</t>
  </si>
  <si>
    <t xml:space="preserve">Медный купорос </t>
  </si>
  <si>
    <t>ХЧ ГОСТ 4165-78</t>
  </si>
  <si>
    <t xml:space="preserve">Бумага индикатор универсальные рН 0-12 </t>
  </si>
  <si>
    <t>ГОСТ 13525.10-78</t>
  </si>
  <si>
    <t>Ацетилен балон (газ)</t>
  </si>
  <si>
    <t>Аммиак</t>
  </si>
  <si>
    <t>Газ Ацетилен балон</t>
  </si>
  <si>
    <t>Газ гелий</t>
  </si>
  <si>
    <t>Газ Пропан</t>
  </si>
  <si>
    <t xml:space="preserve">Аргон газообразный </t>
  </si>
  <si>
    <t>Аргон жидкий</t>
  </si>
  <si>
    <t>Пропан</t>
  </si>
  <si>
    <t>Соль</t>
  </si>
  <si>
    <t>Спирт этиловый ректификат 960</t>
  </si>
  <si>
    <t>ГОСТ 5962-67</t>
  </si>
  <si>
    <t>Силитра амиачная</t>
  </si>
  <si>
    <t>ГОСТ 2-85 с изм.№1,2,3 Хим. формула NH4NO3 № вещества в реестре CAS 6484-52-2</t>
  </si>
  <si>
    <t>Гидроксинон</t>
  </si>
  <si>
    <t>ГОСТ 19627-74</t>
  </si>
  <si>
    <t>Бюкс высокий 40*65-34-12</t>
  </si>
  <si>
    <t>Бюретка без крана 25 мл</t>
  </si>
  <si>
    <t>ГОСТ 29295-91</t>
  </si>
  <si>
    <t>Весы</t>
  </si>
  <si>
    <t>до 100 кг</t>
  </si>
  <si>
    <t>Весы лабораторные</t>
  </si>
  <si>
    <t>с  дискретностью  до 1 грамм</t>
  </si>
  <si>
    <t>Воронка полиэтиленовый  В 100 мм</t>
  </si>
  <si>
    <t xml:space="preserve">Вспениватель оксал  </t>
  </si>
  <si>
    <t>Т-80</t>
  </si>
  <si>
    <t>Термо пара с термодатчиком</t>
  </si>
  <si>
    <t>разные</t>
  </si>
  <si>
    <t xml:space="preserve">Нагревательные элементы для печей </t>
  </si>
  <si>
    <t>Пускатели</t>
  </si>
  <si>
    <t>Набор сит</t>
  </si>
  <si>
    <t xml:space="preserve">система фильтрации дистелерованной воды </t>
  </si>
  <si>
    <t>Дозаторы бутылочные</t>
  </si>
  <si>
    <t>Весы электронные 30-40кг</t>
  </si>
  <si>
    <t>AOTE-777</t>
  </si>
  <si>
    <t>Промывалка лабораторная 500 мл</t>
  </si>
  <si>
    <t>Колба  стеклянные вместимостью 1000 мл</t>
  </si>
  <si>
    <t>Колбы  мерные   50 мл</t>
  </si>
  <si>
    <t xml:space="preserve"> ГОСТ 25336-82</t>
  </si>
  <si>
    <t>Перекись водорода</t>
  </si>
  <si>
    <t>Пинцеты хирургические (большие)</t>
  </si>
  <si>
    <t>Пипетки разные 1,0; 2,0; 5,0; 10,0; 25,0; 50,0</t>
  </si>
  <si>
    <t>Пробирки П-1-21-200</t>
  </si>
  <si>
    <t>спирт изоамиловый</t>
  </si>
  <si>
    <t>Стакан стекло Н-1-250 ТС</t>
  </si>
  <si>
    <t>Стакан стеклянные вместимостью 500 мл</t>
  </si>
  <si>
    <t>Стеклографитовые чашки</t>
  </si>
  <si>
    <t>Тигель стеклоуглеродный №5 V=40 ml. D=45 Н=45 В ТУ1916-027-27208846-01</t>
  </si>
  <si>
    <t>Тигель фарфоровый</t>
  </si>
  <si>
    <t>Триэталонамин</t>
  </si>
  <si>
    <t>Чаша стеклоуглеродная №2 V=110 ml. D=100 Н=33 В ТУ1916-027-27208846-01</t>
  </si>
  <si>
    <t>Чашки фарфоровые 50 мл</t>
  </si>
  <si>
    <t>м2</t>
  </si>
  <si>
    <t>кв.м</t>
  </si>
  <si>
    <t>упак</t>
  </si>
  <si>
    <t>балон</t>
  </si>
  <si>
    <t>баллон</t>
  </si>
  <si>
    <t>Шары для шариковых мельниц</t>
  </si>
  <si>
    <t>d-30мм</t>
  </si>
  <si>
    <t>d-50мм</t>
  </si>
  <si>
    <t>Пневмо подушка (RS-300, PV-2 и др)</t>
  </si>
  <si>
    <t>Платформа вставка (Подставка)</t>
  </si>
  <si>
    <t>Пружины</t>
  </si>
  <si>
    <t>Втулка пружины</t>
  </si>
  <si>
    <t>Уплотнители крышки</t>
  </si>
  <si>
    <t>Крышка и чашка к одноярусной мельнице</t>
  </si>
  <si>
    <t>Комплект колец к одноярусной мельнице</t>
  </si>
  <si>
    <t>Крышка и чашка к двух ярусной мельнице</t>
  </si>
  <si>
    <t>Комплект колец к двух ярусной мельнице</t>
  </si>
  <si>
    <t>Вибрационная дисковая мельница RS-300 Essa (чашка, шайба)</t>
  </si>
  <si>
    <t>Чашка, шайба (большая)</t>
  </si>
  <si>
    <t>ПВ-2 пуливерайзер (чашка шайба)</t>
  </si>
  <si>
    <t>Чашка, шайба (маленькая)</t>
  </si>
  <si>
    <t>Дробилка ДГЩ 100/60 (дробилка геол.щековая) Щека</t>
  </si>
  <si>
    <t>Щека</t>
  </si>
  <si>
    <t>Дробилка ДГЩ 100/160 (дробилка геол.щековая) Щека</t>
  </si>
  <si>
    <t>Дробилка щековая ШД-10 Щека</t>
  </si>
  <si>
    <t>Дробилка щековая BOYD RSD комбо Щека</t>
  </si>
  <si>
    <t>Дробилка валковая ДВГ 200х125 Валы</t>
  </si>
  <si>
    <t>Валы</t>
  </si>
  <si>
    <t xml:space="preserve">Дробилка щековая ВВ200-250 ХL </t>
  </si>
  <si>
    <t>Щека разные (щека)</t>
  </si>
  <si>
    <t>Измельчитель виброционный  ИВ-200</t>
  </si>
  <si>
    <t xml:space="preserve">Стакан </t>
  </si>
  <si>
    <t>Измельчитель виброционный  ИВ-4 - ИВ-3</t>
  </si>
  <si>
    <t>Стаканы для шариковых мельниц d -147 мм, длина 230 мм.</t>
  </si>
  <si>
    <t>Стаканы для шариковых мельниц d -114 мм, длина 140 мм.</t>
  </si>
  <si>
    <t>Стаканы разные, (ИВП-200 и другие)</t>
  </si>
  <si>
    <t>Стержни Д-24мм (прут стальной)</t>
  </si>
  <si>
    <t>Валы разные</t>
  </si>
  <si>
    <t>Стакан 1 кг в ком 5 палцами для стержневой мельницы</t>
  </si>
  <si>
    <t xml:space="preserve">компл </t>
  </si>
  <si>
    <t>п.м.</t>
  </si>
  <si>
    <t>компл</t>
  </si>
  <si>
    <t>лаборатория</t>
  </si>
  <si>
    <t>НАСОС САМОВСАСОВАЕЮЩАЯ 1100</t>
  </si>
  <si>
    <t>CLS-1100</t>
  </si>
  <si>
    <t>Ёмкость Эко пром для воды полиэтилиновая 1000л</t>
  </si>
  <si>
    <t>Стакан (литровая)</t>
  </si>
  <si>
    <t>Стеклянная химеческая</t>
  </si>
  <si>
    <t>Колба лабораторная с делением ТС (коническая) 100 мл</t>
  </si>
  <si>
    <t>коническая</t>
  </si>
  <si>
    <t>Колба стеклянная 100 мл, 200мл, 400мл</t>
  </si>
  <si>
    <t>Колба стеклянная</t>
  </si>
  <si>
    <t>Испытательный пресс ТП-1-1500</t>
  </si>
  <si>
    <t>ТП-1-1500</t>
  </si>
  <si>
    <t>Стакан стекляный лабараторный по гост 25336-82</t>
  </si>
  <si>
    <t>гост 25336-82</t>
  </si>
  <si>
    <t>Чашка форфорвая  по Гост 9147-80 №3, №4</t>
  </si>
  <si>
    <t>Гост 9147-80 №3, №4</t>
  </si>
  <si>
    <t>Банка металическая по Гост 6128</t>
  </si>
  <si>
    <t xml:space="preserve"> Гост 6128</t>
  </si>
  <si>
    <t>Электроплитка КОМАРЕЛЛА (Artel)</t>
  </si>
  <si>
    <t>Artel</t>
  </si>
  <si>
    <t>Shvenniy mashina</t>
  </si>
  <si>
    <t>GOST 19930-91</t>
  </si>
  <si>
    <t xml:space="preserve">КОМПРЕССОР </t>
  </si>
  <si>
    <t>КТ 2090 (KITO)</t>
  </si>
  <si>
    <t>Дробилка</t>
  </si>
  <si>
    <t>Ремень профильный B - 1450 ГОСТ 1284-68. 1037486</t>
  </si>
  <si>
    <t>Ремень профильный B - 1600 ГОСТ 1284-68. 1037486</t>
  </si>
  <si>
    <t>Олмосли коронка, кенгайтиргич, олмосли диск (Алмазная коронка, расширитель, алмазный диск)</t>
  </si>
  <si>
    <t>Алмазные коронки</t>
  </si>
  <si>
    <t xml:space="preserve">Канат ССК 7,6 мм </t>
  </si>
  <si>
    <t>Трос в сборе, главной лебёдки диаметром 16 мм х 75 футов (22,86 м)</t>
  </si>
  <si>
    <t>Канат стальной 19,5 мм</t>
  </si>
  <si>
    <t>Канат стальной 18 мм</t>
  </si>
  <si>
    <t>ПРОЧЕЕ</t>
  </si>
  <si>
    <t>Пневмоударник ПП 110 мм</t>
  </si>
  <si>
    <t>ПП 110 мм</t>
  </si>
  <si>
    <t>Коронка КНШ 110 мм</t>
  </si>
  <si>
    <t>KНШ 110 мм</t>
  </si>
  <si>
    <t xml:space="preserve">Бурильные трубы ТБСУ </t>
  </si>
  <si>
    <t>TБСУ 63,5x6,0x4700</t>
  </si>
  <si>
    <t>Бурильный трубы ТБСУ (левый)</t>
  </si>
  <si>
    <t>Қоплама қувурлар (Обсадные трубы)</t>
  </si>
  <si>
    <t>Обсадные трубы СT E/СВ Ø 108*5.0 мм</t>
  </si>
  <si>
    <t>ГОСT 10704-91/10705-80</t>
  </si>
  <si>
    <t>Обсадный трубы СT E/СВ Ø 114*3,5. мм</t>
  </si>
  <si>
    <t>Обсадные трубы СT E/СВ Ø 127*5 мм</t>
  </si>
  <si>
    <t>Обсадные трубы СT E/СВ Ø 146*5 мм</t>
  </si>
  <si>
    <t>Кимёвий реагентлар (Химические реагенты)</t>
  </si>
  <si>
    <t xml:space="preserve">Реагент ASO </t>
  </si>
  <si>
    <t>Сода калцинированная</t>
  </si>
  <si>
    <t>Сода каустическая</t>
  </si>
  <si>
    <t>Сампак</t>
  </si>
  <si>
    <t>Бентонитовая глина (порошковая)</t>
  </si>
  <si>
    <t>Полимер PAС HV</t>
  </si>
  <si>
    <t>Cмазка GREEN LUBE</t>
  </si>
  <si>
    <t>Загуститель GLAY MASTER</t>
  </si>
  <si>
    <t>Томпанажный полимер X-Tend 400</t>
  </si>
  <si>
    <t>Синтетический полимер "ТОРНАДО"</t>
  </si>
  <si>
    <t>Смазка RED FOX</t>
  </si>
  <si>
    <t>Смазка GRIZZLY</t>
  </si>
  <si>
    <t>Cмазка ZINC OWL</t>
  </si>
  <si>
    <t>Тампонажный материал Magma Fiber</t>
  </si>
  <si>
    <t xml:space="preserve"> </t>
  </si>
  <si>
    <t>Добавка для буровых растворов SAND ROCK</t>
  </si>
  <si>
    <t>tn</t>
  </si>
  <si>
    <t>1</t>
  </si>
  <si>
    <t>2</t>
  </si>
  <si>
    <t>5</t>
  </si>
  <si>
    <t>Стропы</t>
  </si>
  <si>
    <t>Стропа 4СК канат д-20 мм, 16 тонна длина 6-метр</t>
  </si>
  <si>
    <t>ГОСТ 7668-80</t>
  </si>
  <si>
    <t>Стропа 4СК канат д-18 мм, 10 тонна длина 4-метр</t>
  </si>
  <si>
    <t>ГОСТ 7668-81</t>
  </si>
  <si>
    <t>Подшипники в ассортименте</t>
  </si>
  <si>
    <t>Подшипник шарикли 138Л (СКБ 5113 шниндель)</t>
  </si>
  <si>
    <t xml:space="preserve"> (6038 MA) 190x290x46 mm.</t>
  </si>
  <si>
    <t>Подшипник шарикли 324 (ЗМО 1500 врвшвтел)</t>
  </si>
  <si>
    <t xml:space="preserve"> (6324) GOST 8338  art; 10088320</t>
  </si>
  <si>
    <t>Подшипник  2226  (ЗМО 1500 врашател , гр насос НБ 32)</t>
  </si>
  <si>
    <t xml:space="preserve"> ГОСТ 8328-75</t>
  </si>
  <si>
    <t>Ремни в ассортименте</t>
  </si>
  <si>
    <t>Ремень (двигател Hanjin 10DE )</t>
  </si>
  <si>
    <t>1150 А</t>
  </si>
  <si>
    <t>Ремень (дробилка ДГШ)</t>
  </si>
  <si>
    <t>Б-1400</t>
  </si>
  <si>
    <t>DBC Makina S-15</t>
  </si>
  <si>
    <t>Гидравлический двигатель 80см³</t>
  </si>
  <si>
    <t>Шт. / Set</t>
  </si>
  <si>
    <t>Гидравлический двигатель 8 куб.см</t>
  </si>
  <si>
    <t>Гидравлический двигатель  315см³ Лебедки ССК</t>
  </si>
  <si>
    <t>Гидравлический насос 45 куб</t>
  </si>
  <si>
    <t>Гидравлический насос 140 куб. см</t>
  </si>
  <si>
    <t>Гидравлический двигатель 102см³ W11</t>
  </si>
  <si>
    <t>Гидравлические насосы</t>
  </si>
  <si>
    <t xml:space="preserve">Гидропатрон </t>
  </si>
  <si>
    <t>Износостойкая  пластина</t>
  </si>
  <si>
    <t>шт. / Pc.</t>
  </si>
  <si>
    <t>Скользящая накладка</t>
  </si>
  <si>
    <t>Верхняя скользящая накладка</t>
  </si>
  <si>
    <t>Нижняя пластина</t>
  </si>
  <si>
    <t>уплотнительное кольцо Ø220X5</t>
  </si>
  <si>
    <t>уплотнительное кольцо Ø3,53</t>
  </si>
  <si>
    <t>Поршень гидравлического патрона</t>
  </si>
  <si>
    <t>Основание патрона (шпиндель)</t>
  </si>
  <si>
    <t>Винт Hhcs 1/2-20unf x 1 3/4 lg</t>
  </si>
  <si>
    <t>Муфта</t>
  </si>
  <si>
    <t>Нижний направляющий цилиндр</t>
  </si>
  <si>
    <t>Газовая пружина</t>
  </si>
  <si>
    <t>Пружина сжатия</t>
  </si>
  <si>
    <t>Подшипник направляющего блока</t>
  </si>
  <si>
    <t>Подшипник вращателя</t>
  </si>
  <si>
    <t>Подшипник трубодержателя</t>
  </si>
  <si>
    <t>Подшипник крон-блока</t>
  </si>
  <si>
    <t>Подшипник блока ССК</t>
  </si>
  <si>
    <t>Подшипник упорный шариковый патрона</t>
  </si>
  <si>
    <t>S. Роликовый  конический подшипник вращателя</t>
  </si>
  <si>
    <t>Фильтр</t>
  </si>
  <si>
    <t>Вставка фильтра V2</t>
  </si>
  <si>
    <t>Подшипник SKF-6204</t>
  </si>
  <si>
    <t>Прокладка вращателя</t>
  </si>
  <si>
    <t>Набор уплотнений цилиндра подачи</t>
  </si>
  <si>
    <t>Шкив крон-блока</t>
  </si>
  <si>
    <t>Цилиндр</t>
  </si>
  <si>
    <t>Набор уплотнений цилиндра</t>
  </si>
  <si>
    <t>Комплект уплотнеий направляющего цилиндра</t>
  </si>
  <si>
    <t>Верхний направляющий цилиндр</t>
  </si>
  <si>
    <t>Комплект уплотнений верхнего направляющего цилиндра</t>
  </si>
  <si>
    <t>Цилиндр отвода вращателя</t>
  </si>
  <si>
    <t>Набор уплотнений цилиндра отвода вращателя</t>
  </si>
  <si>
    <t>Вал-шестерня</t>
  </si>
  <si>
    <t>Модивицированный вал</t>
  </si>
  <si>
    <t>Шестерня главного вала</t>
  </si>
  <si>
    <t>Вал вторичный</t>
  </si>
  <si>
    <t>Шестерня вторичного вала</t>
  </si>
  <si>
    <t>Крышка в сборе</t>
  </si>
  <si>
    <t>Cальник вращателя</t>
  </si>
  <si>
    <t>Втулка скольжения</t>
  </si>
  <si>
    <t>Насос масляный</t>
  </si>
  <si>
    <t>Муфта в сборе</t>
  </si>
  <si>
    <t>Гибкая муфта</t>
  </si>
  <si>
    <t>Сальник</t>
  </si>
  <si>
    <t>Уплотнение</t>
  </si>
  <si>
    <t>Набор уплотнений гидропатрона</t>
  </si>
  <si>
    <t>Болт специальный длинный</t>
  </si>
  <si>
    <t>Болт патрона</t>
  </si>
  <si>
    <t>Комплект кулачков BQ</t>
  </si>
  <si>
    <t>Комплект кулачков NQ</t>
  </si>
  <si>
    <t>Комплект кулачков НQ</t>
  </si>
  <si>
    <t>Комплект кулачков PQ</t>
  </si>
  <si>
    <t>Пружина кулачков N</t>
  </si>
  <si>
    <t>Пружина кулачков H</t>
  </si>
  <si>
    <t>Пружина кулачков P</t>
  </si>
  <si>
    <t>Центратор патрона B</t>
  </si>
  <si>
    <t>Центратор шпинделя B</t>
  </si>
  <si>
    <t>Набор уплотнений цилиндра сброса</t>
  </si>
  <si>
    <t>Центрирующая втулка B</t>
  </si>
  <si>
    <t>Центрирующая втулка N</t>
  </si>
  <si>
    <t>Центрирующая втулка H</t>
  </si>
  <si>
    <t>Набор плашек трубодержателя B TC</t>
  </si>
  <si>
    <t>Набор плашек трубодержателя N TC</t>
  </si>
  <si>
    <t>Набор плашек трубодержателя H TC</t>
  </si>
  <si>
    <t>Держатель плашек</t>
  </si>
  <si>
    <t>Монтажный фланец</t>
  </si>
  <si>
    <t>Корпус подшипника трубодержателя</t>
  </si>
  <si>
    <t>Крышка центратора</t>
  </si>
  <si>
    <t>Держатель центратора</t>
  </si>
  <si>
    <t>Подшипник лебедки ССК</t>
  </si>
  <si>
    <t xml:space="preserve">Уплотнение поршня </t>
  </si>
  <si>
    <t>Набор уплотнений главной лебедки</t>
  </si>
  <si>
    <t>Цилиндр домкрата</t>
  </si>
  <si>
    <t>Комплект уплотнений цилиндра домкрата</t>
  </si>
  <si>
    <t>Цилндр подъема мачты</t>
  </si>
  <si>
    <t>Комплект уплотнений цилндра подъема мачты</t>
  </si>
  <si>
    <t>Насос перекачки топлива</t>
  </si>
  <si>
    <t>Главный распределитель</t>
  </si>
  <si>
    <t>Промежуточная шестерня</t>
  </si>
  <si>
    <t>Клапан</t>
  </si>
  <si>
    <t>Манометр 80KN</t>
  </si>
  <si>
    <t>Манометр D63-400 bar</t>
  </si>
  <si>
    <t>Манометр 160KN</t>
  </si>
  <si>
    <t>Манометр D100-160 bar</t>
  </si>
  <si>
    <t>Манометр D100-400 bar</t>
  </si>
  <si>
    <t>Болт</t>
  </si>
  <si>
    <t>Пластина скольжения</t>
  </si>
  <si>
    <t>Ролик</t>
  </si>
  <si>
    <t>Держатель РВД</t>
  </si>
  <si>
    <t>Фильтр в сборе</t>
  </si>
  <si>
    <t>Чаша патрона</t>
  </si>
  <si>
    <t>Цилиндр патрона</t>
  </si>
  <si>
    <t>Шпиндель патрона</t>
  </si>
  <si>
    <t>Гайка самоконтрящаяся</t>
  </si>
  <si>
    <t>Главная лебедка в сборе</t>
  </si>
  <si>
    <t>Монитор</t>
  </si>
  <si>
    <t>Лебедка ССК в сборе</t>
  </si>
  <si>
    <t>DBC Makina S-21</t>
  </si>
  <si>
    <t>Пластины скольжения</t>
  </si>
  <si>
    <t xml:space="preserve">Подшипник вращателя конический  </t>
  </si>
  <si>
    <t>Подшипник вал-шестерни вращателя</t>
  </si>
  <si>
    <t>Пружины компрессионные</t>
  </si>
  <si>
    <t xml:space="preserve">Набор плашек трубодержателя (P114mm) </t>
  </si>
  <si>
    <t>Набор плашек трубодержателя (H 89mm)</t>
  </si>
  <si>
    <t>Набор плашек трубодержателя (N 70mm)</t>
  </si>
  <si>
    <t>Центратор Р</t>
  </si>
  <si>
    <t>Центратор Н</t>
  </si>
  <si>
    <t>Центратор N</t>
  </si>
  <si>
    <t>Гидромотор вращателя</t>
  </si>
  <si>
    <t>Parker V14-110-SVS-HPE3A-N000-N-00-110/47-010-_ _ _</t>
  </si>
  <si>
    <t>DBC Makina ESD-9</t>
  </si>
  <si>
    <t>Износостойкая пластина</t>
  </si>
  <si>
    <t>Винт</t>
  </si>
  <si>
    <t>Ремкомплект цилиндра подачи</t>
  </si>
  <si>
    <t>Ремкомплект цилиндра сброса мачты</t>
  </si>
  <si>
    <t>Шкив</t>
  </si>
  <si>
    <t>Подшипник ролика</t>
  </si>
  <si>
    <t>Мотор вращателя</t>
  </si>
  <si>
    <t>Комплект уплотнений на вращатель</t>
  </si>
  <si>
    <t>Стопорное кольцо</t>
  </si>
  <si>
    <t>Ведущая шестерня</t>
  </si>
  <si>
    <t>Шестерня</t>
  </si>
  <si>
    <t>Шпиндель в сборе</t>
  </si>
  <si>
    <t>Втулка B - H вращателя</t>
  </si>
  <si>
    <t>Палец</t>
  </si>
  <si>
    <t>Резиновая втулка патрон</t>
  </si>
  <si>
    <t>Плашкодержатель</t>
  </si>
  <si>
    <t>Пружина</t>
  </si>
  <si>
    <t>Корпус подшипника</t>
  </si>
  <si>
    <t>Подшипник вала тросоукладчика</t>
  </si>
  <si>
    <t>Цепь</t>
  </si>
  <si>
    <t>Вал тросоукладчика</t>
  </si>
  <si>
    <t>Манометр</t>
  </si>
  <si>
    <t>Pressure Gauge Hold D63</t>
  </si>
  <si>
    <t>Клапан водяного насоса</t>
  </si>
  <si>
    <t>Перепусукной клапан</t>
  </si>
  <si>
    <t>Направляющий клапан</t>
  </si>
  <si>
    <t xml:space="preserve">Клапан </t>
  </si>
  <si>
    <t>Редукционный  клапан давления</t>
  </si>
  <si>
    <t>Клапан или</t>
  </si>
  <si>
    <t>Полумуфта Mt</t>
  </si>
  <si>
    <t>Муфта резиновая</t>
  </si>
  <si>
    <t>Полумуфта Рt</t>
  </si>
  <si>
    <t>Муфта в сборе(дизель)</t>
  </si>
  <si>
    <t>Ремкомплект - газовой пружины</t>
  </si>
  <si>
    <t>Сапун</t>
  </si>
  <si>
    <t>Градусник</t>
  </si>
  <si>
    <t>Комплект кулачков патрона ВQ</t>
  </si>
  <si>
    <t>Комплект кулачков патрона NQ</t>
  </si>
  <si>
    <t>Комплект кулачков патрона HQ</t>
  </si>
  <si>
    <t>Верхняя направляющая ВQ</t>
  </si>
  <si>
    <t>Верхняя направляющая NQ</t>
  </si>
  <si>
    <t>Верхняя направляющая HQ</t>
  </si>
  <si>
    <t>Набор плашек трубодержателя ВQ</t>
  </si>
  <si>
    <t>Набор плашек трубодержателя NQ</t>
  </si>
  <si>
    <t>Набор плашек трубодержателя HQ</t>
  </si>
  <si>
    <t>Центратор трубодержателя ВQ</t>
  </si>
  <si>
    <t>Центратор трубодержателя NQ</t>
  </si>
  <si>
    <t>Центратор трубодержателя HQ</t>
  </si>
  <si>
    <t>Гидравлический фильтр</t>
  </si>
  <si>
    <t>Индикатор фильтра</t>
  </si>
  <si>
    <t>Кольцо</t>
  </si>
  <si>
    <t>Шпонка</t>
  </si>
  <si>
    <t>Индикаторный диск</t>
  </si>
  <si>
    <t>Комплект для капитального ремонта вращателя</t>
  </si>
  <si>
    <t>Volvo Penta</t>
  </si>
  <si>
    <t>Масляный фильтр</t>
  </si>
  <si>
    <t>23476569 (21913334)</t>
  </si>
  <si>
    <t>Фильтр топливный</t>
  </si>
  <si>
    <t>Фильтр тонкой очистки топлива</t>
  </si>
  <si>
    <t>Воздушный фильтр</t>
  </si>
  <si>
    <t>Маслоохладитель</t>
  </si>
  <si>
    <t>Топливный насос</t>
  </si>
  <si>
    <t>Форсунка</t>
  </si>
  <si>
    <t>Фильтр топливный в сборе</t>
  </si>
  <si>
    <t>Турбокомпрессор</t>
  </si>
  <si>
    <t>Помпа охлаждающая</t>
  </si>
  <si>
    <t>Термостат</t>
  </si>
  <si>
    <t>Ремень</t>
  </si>
  <si>
    <t>Генератор</t>
  </si>
  <si>
    <t>Стартер</t>
  </si>
  <si>
    <t xml:space="preserve"> Son-Mak RX-4</t>
  </si>
  <si>
    <t>Адаптор</t>
  </si>
  <si>
    <t>Главный насос</t>
  </si>
  <si>
    <t>Вторичный насос</t>
  </si>
  <si>
    <t>Вспомогательный насос</t>
  </si>
  <si>
    <t>Регулятор водяного насоса</t>
  </si>
  <si>
    <t>Элемент гидравлического фильра</t>
  </si>
  <si>
    <t>RX5 0500 018</t>
  </si>
  <si>
    <t>Комплект кулачков ВQ</t>
  </si>
  <si>
    <t>Комплект кулачков РQ</t>
  </si>
  <si>
    <t>Пружина газовая патрона</t>
  </si>
  <si>
    <t>Насос смазки вращателя</t>
  </si>
  <si>
    <t>Корбка переключения передач</t>
  </si>
  <si>
    <t>Элемент фильтра смазки вращателя</t>
  </si>
  <si>
    <t>Подшипник вал-шестерни</t>
  </si>
  <si>
    <t>1000113882/ 1000113883</t>
  </si>
  <si>
    <t>Подшипник шпинделя верхний</t>
  </si>
  <si>
    <t>1000113894/ 1000113895</t>
  </si>
  <si>
    <t>Подшипник шпинделя нижний</t>
  </si>
  <si>
    <t>1000113892/ 1000113893</t>
  </si>
  <si>
    <t>Подшипник промежуточной шестерни</t>
  </si>
  <si>
    <t>1000113886/ 1000113887</t>
  </si>
  <si>
    <t>Уплотнение шпинделя верхнее</t>
  </si>
  <si>
    <t>Уплотнение шпинделя нижнее</t>
  </si>
  <si>
    <t>Главный вал</t>
  </si>
  <si>
    <t>Игла</t>
  </si>
  <si>
    <t>Муфта маховика</t>
  </si>
  <si>
    <t>Муфта привода насосов</t>
  </si>
  <si>
    <t>Клапан медленной подачи</t>
  </si>
  <si>
    <t>Клапан миксера</t>
  </si>
  <si>
    <t>Клапан подъема мачты</t>
  </si>
  <si>
    <t>Клапан патрона и трубодержателя</t>
  </si>
  <si>
    <t>Регулятор медленной подачи</t>
  </si>
  <si>
    <t>Регулятор миксера</t>
  </si>
  <si>
    <t>Регулятор тскорости вращения</t>
  </si>
  <si>
    <t>Регулятор давления патрона и трубодержателя</t>
  </si>
  <si>
    <t>Регулятор давления давления подъема мачты</t>
  </si>
  <si>
    <t>Регулятор давления миксера</t>
  </si>
  <si>
    <t>Регулятор веса снаряда</t>
  </si>
  <si>
    <t>Клапан тормоза лебедки</t>
  </si>
  <si>
    <t>Шпиндель редуктора</t>
  </si>
  <si>
    <t>Гайка шпинделя внутренняя</t>
  </si>
  <si>
    <t>Втулка шпинделя верхняя</t>
  </si>
  <si>
    <t>Втулка шпинделя нижняя</t>
  </si>
  <si>
    <t>Центратор патрона ВQ</t>
  </si>
  <si>
    <t>Центратор шпинделя ВQ</t>
  </si>
  <si>
    <t>Набор уплотнений патрона</t>
  </si>
  <si>
    <t>Boyles C6</t>
  </si>
  <si>
    <t>3725 0008 51</t>
  </si>
  <si>
    <t>3725 0002 49</t>
  </si>
  <si>
    <t>Звездочка цепи 23</t>
  </si>
  <si>
    <t>3760 0095 67</t>
  </si>
  <si>
    <t>Подшипник звездочки вращателя</t>
  </si>
  <si>
    <t>3760 0071 75</t>
  </si>
  <si>
    <t>Звездочка цепи 57</t>
  </si>
  <si>
    <t>3760 0095 68</t>
  </si>
  <si>
    <t>3760 0095 03</t>
  </si>
  <si>
    <t>Цепь вращателя</t>
  </si>
  <si>
    <t>3760 0032 22</t>
  </si>
  <si>
    <t>3760 0073 15</t>
  </si>
  <si>
    <t>Шпиндель вращателя</t>
  </si>
  <si>
    <t>3760 0033 23</t>
  </si>
  <si>
    <t>3760 0032 01</t>
  </si>
  <si>
    <t>3760 0073 04</t>
  </si>
  <si>
    <t>3725 0002 72</t>
  </si>
  <si>
    <t>3725 0002 74</t>
  </si>
  <si>
    <t>Элемент возвратного фильтра</t>
  </si>
  <si>
    <t>8231 1079 48</t>
  </si>
  <si>
    <t>3719 0025 15</t>
  </si>
  <si>
    <t>Cummins QSB-6.7 CM850</t>
  </si>
  <si>
    <t>Фильтр масляный</t>
  </si>
  <si>
    <t>LF3970</t>
  </si>
  <si>
    <t xml:space="preserve">Фильтр топливный </t>
  </si>
  <si>
    <t>FS19732</t>
  </si>
  <si>
    <t>FF5421</t>
  </si>
  <si>
    <t>Фильтр воздушный</t>
  </si>
  <si>
    <t>С23610</t>
  </si>
  <si>
    <t>СF610</t>
  </si>
  <si>
    <t>AF25962</t>
  </si>
  <si>
    <t>AF25963</t>
  </si>
  <si>
    <t>Термостат QSB-6.7</t>
  </si>
  <si>
    <t>Генератор QSB-6.7</t>
  </si>
  <si>
    <t>3972732 (2874862)</t>
  </si>
  <si>
    <t>Подшипник ступицы вентилятора QSB-6.7</t>
  </si>
  <si>
    <t>Маслоохладитель QSB-6.7</t>
  </si>
  <si>
    <t>Прокладка маслоохладителя QSB-6.7</t>
  </si>
  <si>
    <t xml:space="preserve">Прокладка головки фильтра QSB-6.7 </t>
  </si>
  <si>
    <t>Блок управления QSB-6.7</t>
  </si>
  <si>
    <t>Турбина QSB-6.7</t>
  </si>
  <si>
    <t>Стартер QSB-6.7</t>
  </si>
  <si>
    <t>Прокладка коллектора QSB-6.7</t>
  </si>
  <si>
    <t>Ремень QSB-6.7</t>
  </si>
  <si>
    <t>Натяжитель ремня QSB-6.7</t>
  </si>
  <si>
    <t>Водяная помпа QSB-6.7</t>
  </si>
  <si>
    <t>Набор прокладок, верхний QSB-6.7</t>
  </si>
  <si>
    <t>Набор прокладок, нижний QSB-6.7</t>
  </si>
  <si>
    <t xml:space="preserve">   Промывочный насос FMC W1122</t>
  </si>
  <si>
    <t xml:space="preserve">Промычной насос в сборе </t>
  </si>
  <si>
    <t>64700149(FMC  W1122BCD)</t>
  </si>
  <si>
    <t>Предохранительный клапан</t>
  </si>
  <si>
    <t>На всех насосах промывочных</t>
  </si>
  <si>
    <t>Поршень</t>
  </si>
  <si>
    <t>Гайка поршня</t>
  </si>
  <si>
    <t>Манжета поршня</t>
  </si>
  <si>
    <t>Прокладка цилиндра</t>
  </si>
  <si>
    <t xml:space="preserve">Прокладка </t>
  </si>
  <si>
    <t xml:space="preserve">Гайка </t>
  </si>
  <si>
    <t>Седло клапана</t>
  </si>
  <si>
    <t xml:space="preserve">Втулка </t>
  </si>
  <si>
    <t xml:space="preserve">Шатун </t>
  </si>
  <si>
    <t xml:space="preserve">Вкладыш Шатуна  </t>
  </si>
  <si>
    <t xml:space="preserve">Коленчатый вал </t>
  </si>
  <si>
    <t>Палец шатуна</t>
  </si>
  <si>
    <t>втулка</t>
  </si>
  <si>
    <t>Шар</t>
  </si>
  <si>
    <t>Уплотнитель</t>
  </si>
  <si>
    <t>63200114/ 63200115</t>
  </si>
  <si>
    <t>Регулировочная пластина</t>
  </si>
  <si>
    <t>Гидравлическая часть</t>
  </si>
  <si>
    <t>(HANJIN D&amp;B</t>
  </si>
  <si>
    <t>Вертлюг H20 в сборе</t>
  </si>
  <si>
    <t>HJH20DS</t>
  </si>
  <si>
    <t>D&amp;B-45D30-</t>
  </si>
  <si>
    <t>Входной клапан в сборе</t>
  </si>
  <si>
    <t>HJMP30L-03-10~14</t>
  </si>
  <si>
    <t>Выпускной клапан</t>
  </si>
  <si>
    <t>HJMP30L-03-23</t>
  </si>
  <si>
    <t>Гидравлический насос в сборе</t>
  </si>
  <si>
    <t>16JAN011 - 13</t>
  </si>
  <si>
    <t>H5V140DT+H3V63S</t>
  </si>
  <si>
    <t xml:space="preserve">Гидрошланг мачты T3 </t>
  </si>
  <si>
    <t>T3 all hydraulic hose</t>
  </si>
  <si>
    <t>Двигатель EATON 2-250cc</t>
  </si>
  <si>
    <t>HJGB803-20</t>
  </si>
  <si>
    <t>Двигатель Rexroth 107cc</t>
  </si>
  <si>
    <t>HJGB803-19 D&amp;B-45D28</t>
  </si>
  <si>
    <t>Двигатель Rexroth 160cc</t>
  </si>
  <si>
    <t>Rexroth motor 160 D&amp;B-45D28-8</t>
  </si>
  <si>
    <t>Джойстик</t>
  </si>
  <si>
    <t>HJOP30MULTI01 - 30</t>
  </si>
  <si>
    <t>Зажим штангодержателя</t>
  </si>
  <si>
    <t>HJFC04 - 10</t>
  </si>
  <si>
    <t xml:space="preserve">Зажимное приспособление держателя </t>
  </si>
  <si>
    <t>HJDWP05 - 08</t>
  </si>
  <si>
    <t>Инжектор D4DA</t>
  </si>
  <si>
    <t>33800-41C13</t>
  </si>
  <si>
    <t>Инжектор Pu086ti</t>
  </si>
  <si>
    <t>65.10101-7450A</t>
  </si>
  <si>
    <t xml:space="preserve">Инжекторный насос D4DA </t>
  </si>
  <si>
    <t>33100-45C10</t>
  </si>
  <si>
    <t>Клапан Danfoss панели управления P1</t>
  </si>
  <si>
    <t>16JAN011 - 10 - 18</t>
  </si>
  <si>
    <t>Клапан Danfoss панели управления P2</t>
  </si>
  <si>
    <t>16JAN011 - 10 - 20</t>
  </si>
  <si>
    <t>Клапан джойстика</t>
  </si>
  <si>
    <t>Клапан соединения в сборе</t>
  </si>
  <si>
    <t>HJMP30L-03-37~44</t>
  </si>
  <si>
    <t xml:space="preserve">Комплект MC nylon </t>
  </si>
  <si>
    <t>HJGBG805 - 25.26</t>
  </si>
  <si>
    <t>Комплект уплотнений</t>
  </si>
  <si>
    <t>300mudpump seal kit</t>
  </si>
  <si>
    <t xml:space="preserve">Комплект уплотнений цилиндра держателя </t>
  </si>
  <si>
    <t>100*70</t>
  </si>
  <si>
    <t xml:space="preserve">Коробка передач 12w в сборе </t>
  </si>
  <si>
    <t>12w Gearbox assembly</t>
  </si>
  <si>
    <t>Коробка передач в сборе (полный комплект)</t>
  </si>
  <si>
    <t>HJGB901</t>
  </si>
  <si>
    <t>HJGB803</t>
  </si>
  <si>
    <t>Лебедка 10т в сборе</t>
  </si>
  <si>
    <t>HJMW04</t>
  </si>
  <si>
    <t>Малая шестерня коробки передач</t>
  </si>
  <si>
    <t>HJGB803 - 05</t>
  </si>
  <si>
    <t>Мотор канатной линии</t>
  </si>
  <si>
    <t>2-250AB6</t>
  </si>
  <si>
    <t>HJWL03-02</t>
  </si>
  <si>
    <t>Мотор лебедки 10т</t>
  </si>
  <si>
    <t>S75 JMV 47/27</t>
  </si>
  <si>
    <t>Обратный фильтр</t>
  </si>
  <si>
    <t>Return filter</t>
  </si>
  <si>
    <t>Основная лебедка</t>
  </si>
  <si>
    <t>HJMW01</t>
  </si>
  <si>
    <t>Палец верхнего ролика</t>
  </si>
  <si>
    <t>HJMT06 - 23</t>
  </si>
  <si>
    <t>HJMT07 - 22 for 12WCP</t>
  </si>
  <si>
    <t>Палец направляющей ролика</t>
  </si>
  <si>
    <t>HJWL03-33</t>
  </si>
  <si>
    <t>Палец нижнего ролика</t>
  </si>
  <si>
    <t>HJMT06 - 02</t>
  </si>
  <si>
    <t>HJMT07 - 02 for 12WCP</t>
  </si>
  <si>
    <t xml:space="preserve">коробки передач </t>
  </si>
  <si>
    <t>10D Gearbox mc plate</t>
  </si>
  <si>
    <t>Подшипник кулачкового
толкателя</t>
  </si>
  <si>
    <t>HJGBG805 - 05</t>
  </si>
  <si>
    <t>16JAN011 - 21 - 04 - 05</t>
  </si>
  <si>
    <t>Подшипник скольжения</t>
  </si>
  <si>
    <t>HJGBG805 - 04</t>
  </si>
  <si>
    <t>Предохранительный клапан ½</t>
  </si>
  <si>
    <t>Приоритетный / Распределительный клапан</t>
  </si>
  <si>
    <t>HJPV01</t>
  </si>
  <si>
    <t>HJPV02</t>
  </si>
  <si>
    <t>Резиновый уплотнитель</t>
  </si>
  <si>
    <t>HJMP30L-03-62</t>
  </si>
  <si>
    <t>Для клапана давления (полный комплект)</t>
  </si>
  <si>
    <t>Maintain the pressure valve (everything included)</t>
  </si>
  <si>
    <t>Ролик верхней части мачты в комплекте</t>
  </si>
  <si>
    <t>HJTW05-Top winch roller set</t>
  </si>
  <si>
    <t xml:space="preserve">Ролик части мачты в сборе </t>
  </si>
  <si>
    <t>HJMT05 – 04~6 HJMT05 – 11~13</t>
  </si>
  <si>
    <t>HJMT07 - 02~7 HJMT07 -18~23</t>
  </si>
  <si>
    <t>Ролик цепи мачты в комплекте</t>
  </si>
  <si>
    <t>HJMT06-Mast chain roller set</t>
  </si>
  <si>
    <t>Ручной клапан (Гидравл.2-ходовой клапан)</t>
  </si>
  <si>
    <t>HJMP30L-03-48</t>
  </si>
  <si>
    <t>Седло шарового клапана (Седло выпускного клапана)</t>
  </si>
  <si>
    <t>HJMP30L-03-25</t>
  </si>
  <si>
    <t xml:space="preserve">Соленоидный клапан DG4V3 одноходовой </t>
  </si>
  <si>
    <t>DG4V-3-2A-M-U-H7-60</t>
  </si>
  <si>
    <t xml:space="preserve">Соленоидный клапан DG4V5 двуходовой </t>
  </si>
  <si>
    <t>DG4V-3- C V-M-U-H7-61</t>
  </si>
  <si>
    <t>Стальной шарик (Выпускной клапан)</t>
  </si>
  <si>
    <t>Трохоидный насос коробки передач 12а (Насос циркуляции масла)</t>
  </si>
  <si>
    <t>HJGB803 - 38</t>
  </si>
  <si>
    <t>Универсальное соединение</t>
  </si>
  <si>
    <t>Universal joint</t>
  </si>
  <si>
    <t>Фильтр Zinga</t>
  </si>
  <si>
    <t>Zinga filter</t>
  </si>
  <si>
    <t>Фильтр общего назначения (Центробежный фильтр коробки передач)</t>
  </si>
  <si>
    <t>HJFR - 03</t>
  </si>
  <si>
    <t xml:space="preserve">Фильтр-сепаратор </t>
  </si>
  <si>
    <t>IR 900</t>
  </si>
  <si>
    <t>Центрирующее канатной линии в сборе</t>
  </si>
  <si>
    <t>HJWL03-24~Q</t>
  </si>
  <si>
    <t xml:space="preserve">Шаровой клапан трехходовой ¼ </t>
  </si>
  <si>
    <t>¼ 3way ballvalve</t>
  </si>
  <si>
    <t xml:space="preserve">Шаровой клапан трехходовой ½ </t>
  </si>
  <si>
    <t>½ 3way ball valve</t>
  </si>
  <si>
    <t>Штангодержатель в сборе</t>
  </si>
  <si>
    <t>HJFC04</t>
  </si>
  <si>
    <t>УРБ2-2</t>
  </si>
  <si>
    <t>Гидромотор -гидронасос</t>
  </si>
  <si>
    <t>310.112.00 06</t>
  </si>
  <si>
    <t>шт.</t>
  </si>
  <si>
    <t>УБГ-7У</t>
  </si>
  <si>
    <t xml:space="preserve">УБГ-7У (Электрич-й) Гидрав. фильтр  внутри бака </t>
  </si>
  <si>
    <t>20-25-кв.2фгм32 25м</t>
  </si>
  <si>
    <t>УБГ-7У (Электрич-й) Масляный фильтр коробки передач</t>
  </si>
  <si>
    <t xml:space="preserve"> 0,16БС41-23</t>
  </si>
  <si>
    <t>Гидронасос  УГБ-7У</t>
  </si>
  <si>
    <t>416.0.125RY2S2F44A22E4/NNBY1</t>
  </si>
  <si>
    <t>Гидронасос УГБ-7У</t>
  </si>
  <si>
    <t>416.0.125RY3A4F44C22E4/MNF3NNBY</t>
  </si>
  <si>
    <t>Гидромотор (УБГ-7У)</t>
  </si>
  <si>
    <t>303.4.160.976</t>
  </si>
  <si>
    <t>РВД и Фитинги</t>
  </si>
  <si>
    <t>РВД</t>
  </si>
  <si>
    <t xml:space="preserve">2" 1SN </t>
  </si>
  <si>
    <t>м/m</t>
  </si>
  <si>
    <t xml:space="preserve">1 1/2" 4SN </t>
  </si>
  <si>
    <t xml:space="preserve">1 1/4" 4SN </t>
  </si>
  <si>
    <t xml:space="preserve">1" 2SN </t>
  </si>
  <si>
    <t xml:space="preserve">1" 4SN </t>
  </si>
  <si>
    <t xml:space="preserve">3/4" 1SN </t>
  </si>
  <si>
    <t xml:space="preserve">3/4" 4SN </t>
  </si>
  <si>
    <t xml:space="preserve">1/2" 1SN </t>
  </si>
  <si>
    <t xml:space="preserve">1/2" 2SN </t>
  </si>
  <si>
    <t xml:space="preserve">3/8" 2SN </t>
  </si>
  <si>
    <t xml:space="preserve">1/4" 2SN </t>
  </si>
  <si>
    <t>РВД армированный пружиной (всасывающий)</t>
  </si>
  <si>
    <t xml:space="preserve">           2" </t>
  </si>
  <si>
    <t xml:space="preserve">1 1/2" </t>
  </si>
  <si>
    <t xml:space="preserve">1 1/4"  </t>
  </si>
  <si>
    <t xml:space="preserve">1"  </t>
  </si>
  <si>
    <t>Гильза для обжимки РВД</t>
  </si>
  <si>
    <t xml:space="preserve">3/4"  </t>
  </si>
  <si>
    <t xml:space="preserve">1/2"  </t>
  </si>
  <si>
    <t xml:space="preserve">3/8"  </t>
  </si>
  <si>
    <t xml:space="preserve">1/4"  </t>
  </si>
  <si>
    <t>Фитинг для обжимки РВД (папa JIC)</t>
  </si>
  <si>
    <t>Дизел ёқилги</t>
  </si>
  <si>
    <t>ЭКО ГОСТ 32511-2013</t>
  </si>
  <si>
    <t>Автобензин</t>
  </si>
  <si>
    <t>АИ-80 ГОСТ 32513</t>
  </si>
  <si>
    <t>ГОСТ 20799-88</t>
  </si>
  <si>
    <t>Гидравлик мой Т-46</t>
  </si>
  <si>
    <t>Гидравлик мой оил Т-68</t>
  </si>
  <si>
    <t>Трансформатор мойи Т1500У</t>
  </si>
  <si>
    <t>ГОСТ 982-80</t>
  </si>
  <si>
    <t>ГОСТ 1033-79</t>
  </si>
  <si>
    <t>ГОСТ 21150-87</t>
  </si>
  <si>
    <t>Антимороз Mannol winter Diesel</t>
  </si>
  <si>
    <t>ГОСТ 9982/9983</t>
  </si>
  <si>
    <t>Антифриз GTL12 PLUS</t>
  </si>
  <si>
    <t>ГОСТ ОЖ-40</t>
  </si>
  <si>
    <t>Смазка графитная (УСсА) "ЦО" СКа2/6-г3</t>
  </si>
  <si>
    <t>Гост 3333-80</t>
  </si>
  <si>
    <t>Смазка водостойкая для узлов и подшипников EP-2</t>
  </si>
  <si>
    <t>Тормоз суюқлиги ДОТ-4</t>
  </si>
  <si>
    <t>Технологическое оборудование</t>
  </si>
  <si>
    <t>Пайвандлаш аппарати</t>
  </si>
  <si>
    <t>РУБИН</t>
  </si>
  <si>
    <t>Стальной круг</t>
  </si>
  <si>
    <t>Пўлат айлана Ø32 мм</t>
  </si>
  <si>
    <t>Пўлат айлана Ø40 мм</t>
  </si>
  <si>
    <t>Пўлат айлана Ø45 мм</t>
  </si>
  <si>
    <t>Пўлат айлана Ø60 мм</t>
  </si>
  <si>
    <t>Пўлат айлана Ø80 мм</t>
  </si>
  <si>
    <t>Пўлат айлана Ø90 мм</t>
  </si>
  <si>
    <t>Пўлат айлана Ø100 мм</t>
  </si>
  <si>
    <t>Ст 40Х ГОСТ 4543-74</t>
  </si>
  <si>
    <t>Пўлат айлана Ø36 мм</t>
  </si>
  <si>
    <t>Ст 40Х ГОСТ 4543-75</t>
  </si>
  <si>
    <t>Ст 40Х ГОСТ 4543-76</t>
  </si>
  <si>
    <t>Ст 40Х ГОСТ 4543-77</t>
  </si>
  <si>
    <t>Пўлат айлана Ø50 мм</t>
  </si>
  <si>
    <t>Ст 40Х ГОСТ 4543-78</t>
  </si>
  <si>
    <t>Ст 40Х ГОСТ 4543-79</t>
  </si>
  <si>
    <t>Пўлат айлана Ø70 мм</t>
  </si>
  <si>
    <t>Ст 40Х ГОСТ 4543-80</t>
  </si>
  <si>
    <t>Ст 40Х ГОСТ 4543-81</t>
  </si>
  <si>
    <t>Ст 40Х ГОСТ 4543-83</t>
  </si>
  <si>
    <t>Ст 40Х ГОСТ 4543-85</t>
  </si>
  <si>
    <t>Бронзали айлана Ø50 мм</t>
  </si>
  <si>
    <t>Браж9-4 АРТ:16193-01</t>
  </si>
  <si>
    <t>Арматуры</t>
  </si>
  <si>
    <t>Арматура Ø12 мм</t>
  </si>
  <si>
    <t>Ст 35 ГС ГОСТ 5781-82</t>
  </si>
  <si>
    <t>Арматура Ø14 мм</t>
  </si>
  <si>
    <t>Ст 25 Г ГОСТ 5781-82</t>
  </si>
  <si>
    <t>Арматура Ø16 мм</t>
  </si>
  <si>
    <t>Шестигранники</t>
  </si>
  <si>
    <t>Шестигранник Ø22 мм</t>
  </si>
  <si>
    <t>Ст 20 ГОСТ 8560-78</t>
  </si>
  <si>
    <t>Шестигранник Ø36 мм</t>
  </si>
  <si>
    <t>Ст 35 ГОСТ 8560-78</t>
  </si>
  <si>
    <t>Шестигранник Ø19 мм</t>
  </si>
  <si>
    <t>Ст 40Х ГОСТ 8560-78</t>
  </si>
  <si>
    <t>Шестигранник Ø24 мм</t>
  </si>
  <si>
    <t>Стальной лист</t>
  </si>
  <si>
    <t>Пўлат лист 4 мм</t>
  </si>
  <si>
    <t>Ст 3 ГОСТ 19903-74</t>
  </si>
  <si>
    <t>Пўлат лист 10 мм</t>
  </si>
  <si>
    <t>Пўлат лист 14 мм</t>
  </si>
  <si>
    <t>Пўлат лист 30 мм</t>
  </si>
  <si>
    <t>Уголок</t>
  </si>
  <si>
    <t>Уголок 40х40х4</t>
  </si>
  <si>
    <t>ГОСТ 8509-72</t>
  </si>
  <si>
    <t>Уголок 50х50х5</t>
  </si>
  <si>
    <t>Швеллер №14</t>
  </si>
  <si>
    <t>ГОСТ 8240-72</t>
  </si>
  <si>
    <t>Электроды</t>
  </si>
  <si>
    <t>Электрод</t>
  </si>
  <si>
    <t>УОНИ 13/55 Ø3 мм (постоянный ток)</t>
  </si>
  <si>
    <t>УОНИ 13/55 Ø4 мм (постоянный ток)</t>
  </si>
  <si>
    <t>МНЧ-2 (ОЗЧ-2) Ø3 мм</t>
  </si>
  <si>
    <t>Инструменты разные</t>
  </si>
  <si>
    <t>Болгарка</t>
  </si>
  <si>
    <t>УШМ 230мм</t>
  </si>
  <si>
    <t>Дрель безударниый электрический</t>
  </si>
  <si>
    <t>BOSCH GBM 1600 RE</t>
  </si>
  <si>
    <t>Перфоратор</t>
  </si>
  <si>
    <t>KROWN 1050 Вт</t>
  </si>
  <si>
    <t>Саморез по дереву</t>
  </si>
  <si>
    <t>30 мм</t>
  </si>
  <si>
    <t>50 мм</t>
  </si>
  <si>
    <t>Лесоматериалы обработанные</t>
  </si>
  <si>
    <t>Фанера</t>
  </si>
  <si>
    <t>5 мм</t>
  </si>
  <si>
    <t>3 мм</t>
  </si>
  <si>
    <t>Харид предмети тасфини</t>
  </si>
  <si>
    <t>Микдори</t>
  </si>
  <si>
    <t>Харид ўтказилладиган чорак</t>
  </si>
  <si>
    <t xml:space="preserve">Настольный ПК (категория 1) </t>
  </si>
  <si>
    <t>Core i3 не менее 12ххх поколения (или AMD Ryzen 5), 16 Гб ОЗУ, 256 Гб SSD (или nvme) + Монитор 27 дюймов + ИБП (1000ВА) + комплект клавиатура\мышь + пилот 5 розеток 3м</t>
  </si>
  <si>
    <t xml:space="preserve">Моноблок (категория 2) </t>
  </si>
  <si>
    <t>Core i5 не менее 12ххх поколения (или AMD Ryzen 5), 16 Гб ОЗУ, 256 Гб SSD (или nvme) с экраном 27 дюйма 
+ ИБП (1000ВА) + комплект клавиатура\мышь + пилот 5 розеток 3м</t>
  </si>
  <si>
    <t xml:space="preserve">Настольный ПК (категория 3) </t>
  </si>
  <si>
    <t xml:space="preserve">Core i7 не менее 12ххх поколения (или AMD Ryzen 7), 64 Гб ОЗУ, 512 Гб SSD (или NVME) с видеокартой не менее Nvidia 3070Ti + Монитор 32 дюйма IPS + ИБП (1500ВА) + комплект клавиатура\мышь + пилот 5 розеток 3м </t>
  </si>
  <si>
    <t xml:space="preserve">Ноутбук (категория 1) </t>
  </si>
  <si>
    <t>Core i3 (или AMD Ryzen 7), 8 Гб ОЗУ, 256 Гб SSD (или nvme) экран 15,6" дюймов + комплект клавиатура\мышь</t>
  </si>
  <si>
    <t>UPS 1500VA/2000W</t>
  </si>
  <si>
    <t>Для распечатки текста и призентаций</t>
  </si>
  <si>
    <t>А4 printer 3/1</t>
  </si>
  <si>
    <t>Telefon uchun mikrafon (Matbuot xizmat)</t>
  </si>
  <si>
    <t>Saramonic Blink500 ProX B6</t>
  </si>
  <si>
    <t>Telefon uchun stabilizator (Matbuot xizmat)</t>
  </si>
  <si>
    <t>Zhiyun Smooth 5 Combo</t>
  </si>
  <si>
    <t xml:space="preserve"> Вспомогательный инструмент </t>
  </si>
  <si>
    <t>Трансп. отдел</t>
  </si>
  <si>
    <t>Мех. отдел</t>
  </si>
  <si>
    <t>12.00R18</t>
  </si>
  <si>
    <t>75 A⋅h    обратная</t>
  </si>
  <si>
    <t>60 A⋅h    обратная</t>
  </si>
  <si>
    <t>110 A⋅h    прямая</t>
  </si>
  <si>
    <t>120 A⋅h    прямая</t>
  </si>
  <si>
    <t>132 A⋅h    прямая</t>
  </si>
  <si>
    <t>135 A⋅h    прямая</t>
  </si>
  <si>
    <t>190 A⋅h    прямая</t>
  </si>
  <si>
    <t>40 A⋅h    прямая</t>
  </si>
  <si>
    <t>45 A⋅h    прямая</t>
  </si>
  <si>
    <t>60 A⋅h    прямая</t>
  </si>
  <si>
    <t>75 A⋅h    прямая</t>
  </si>
  <si>
    <t>90 A⋅h    прямая</t>
  </si>
  <si>
    <t>АККУМУЛЯТОРЫ JAZ BATTERY (ДЖИЗАКСКИЙ АККУМУЛЯТОРНЫЙ ЗАВОД)</t>
  </si>
  <si>
    <t>Гидравлический домкрат</t>
  </si>
  <si>
    <t>Грузоподъёмнсть 5 тонн</t>
  </si>
  <si>
    <t>Домкрат гидравлический</t>
  </si>
  <si>
    <t>Бутылочный, грузоподъёмнсть 16 тонн</t>
  </si>
  <si>
    <t>АВТОШИНЫ</t>
  </si>
  <si>
    <t>ДОМКРАТЫ для геофизической партии</t>
  </si>
  <si>
    <t>Литол-24  Газпромнефт</t>
  </si>
  <si>
    <t>Литол-24  Лукойл</t>
  </si>
  <si>
    <t>Гидравлик мой И-50 Газпромнефт</t>
  </si>
  <si>
    <t>Гидравлик мой И-40 Газпромнефт</t>
  </si>
  <si>
    <t>Гидравлик мой И-40 Лукойл</t>
  </si>
  <si>
    <t>Гидравлик мой И-20 Газпромнефт</t>
  </si>
  <si>
    <t>Гидравлик мой И-20 Лукойл</t>
  </si>
  <si>
    <t>Трансмиссия мойи SAE 85W140 Газпромнефт</t>
  </si>
  <si>
    <t>Трансмиссия мойи SAE 85W140 Лукойл</t>
  </si>
  <si>
    <t>Трансмиссион мойи SAE 80x90 Газпромнефт</t>
  </si>
  <si>
    <t>Трансмиссион мойи SAE 80x90 (GL-5)Лукойл</t>
  </si>
  <si>
    <t>Мотор мойи SAE 20W50 Газпромнефт</t>
  </si>
  <si>
    <t>Мотор мойи SAE 20W50 Лукойл</t>
  </si>
  <si>
    <t>Мотор мойи SAE 10W40 Газпромнефт</t>
  </si>
  <si>
    <t>Мотор мойи SAE 10W40 Лукойл</t>
  </si>
  <si>
    <t>Мотор мойи SAE 5W30 Газпромнефт</t>
  </si>
  <si>
    <t>Мотор мойи SAE 15W40  Газпромнефт</t>
  </si>
  <si>
    <t>Мотор мойи SAE 15W40 (API CH-4,CI-4 не ниже) Лукойл</t>
  </si>
  <si>
    <t>Раствор для дизеля AdBlue AUS 32 ЕвроХим</t>
  </si>
  <si>
    <t>ISO 22241 и DIN 70070 ГОСТ Р ИСО 22241</t>
  </si>
  <si>
    <t>Тосол VITEX А-40D</t>
  </si>
  <si>
    <t>23ПТ</t>
  </si>
  <si>
    <t>26И2</t>
  </si>
  <si>
    <t>Башмак алмазный  143,5/123,8</t>
  </si>
  <si>
    <t>Башмак алмазный 117,5/100</t>
  </si>
  <si>
    <t>Башмак алмазный 122/100</t>
  </si>
  <si>
    <t>Башмак алмазный 95,6/76</t>
  </si>
  <si>
    <t>Расширитель 122,6</t>
  </si>
  <si>
    <t>Расширитель 96,1</t>
  </si>
  <si>
    <t>Расширитель 75,7</t>
  </si>
  <si>
    <t>23И4Г-УК  122</t>
  </si>
  <si>
    <t>23И3Г-УК 122</t>
  </si>
  <si>
    <t>23И2Г-УК 122</t>
  </si>
  <si>
    <t>30И 95,6</t>
  </si>
  <si>
    <t>38И21(2)АУМ-УК 95,6</t>
  </si>
  <si>
    <t>32И22(2)АУМ-12 95,6</t>
  </si>
  <si>
    <t>29И3АГ-УК 95,6</t>
  </si>
  <si>
    <t>23И3АГ-УК 95,6</t>
  </si>
  <si>
    <t>23И2АГ-УК 95,6</t>
  </si>
  <si>
    <t>30И 75,3</t>
  </si>
  <si>
    <t>38И21(2)-18-УК 75,3</t>
  </si>
  <si>
    <t>38И3АГ-УК 75,3</t>
  </si>
  <si>
    <t>38И21(2)АУМ-УК 75,3</t>
  </si>
  <si>
    <t>37И21(2)МГ-УК 75,3</t>
  </si>
  <si>
    <t>23И31-2-УМ-16-УК 75,3</t>
  </si>
  <si>
    <t>23И3АГ-УК 75,3</t>
  </si>
  <si>
    <t>23И2АГ-УК 75,3</t>
  </si>
  <si>
    <t>Дозаторы бутылочные(шприцевые)</t>
  </si>
  <si>
    <t>премечание</t>
  </si>
  <si>
    <t>Подшипник 1000844  (Модул МК-3 )</t>
  </si>
  <si>
    <t>Подшипник шарикли 224 (Врашател СКБ 5113)</t>
  </si>
  <si>
    <t>224 (6224)120x215x40 mm. art:68150</t>
  </si>
  <si>
    <t>Подшипник 2007132 (Hanjin 16DE врашател)</t>
  </si>
  <si>
    <t xml:space="preserve"> ГОСТ 8338-75</t>
  </si>
  <si>
    <t>Подшипник 32617 (гр насос НБ 32)</t>
  </si>
  <si>
    <t>GOST 8328-75</t>
  </si>
  <si>
    <t>Подшипник роликли конус 32028(HANJIN врашател)</t>
  </si>
  <si>
    <t>2002128 (32028)6</t>
  </si>
  <si>
    <t>Подшипник    32032(HANJIN 30DE врашател)</t>
  </si>
  <si>
    <t>Подшипник  7524 (гр насос НБ32 мех.часть)</t>
  </si>
  <si>
    <t>TU 37 006 162-89.</t>
  </si>
  <si>
    <t>Подшипник  7618 (гр насос НБ32 мех.часть)</t>
  </si>
  <si>
    <t>GOST 520-2002</t>
  </si>
  <si>
    <t>Подшипник  7624 (гр насос НБ32)</t>
  </si>
  <si>
    <t>TU 37 006 162-89</t>
  </si>
  <si>
    <t>Ремень клиновый (гр насос НБ 160/6,3)</t>
  </si>
  <si>
    <t>пр.А 1200мм</t>
  </si>
  <si>
    <t>Ремень (двигател Z-700 )</t>
  </si>
  <si>
    <t>8 РК 1460</t>
  </si>
  <si>
    <t>Ремень(Дроб. Станок)</t>
  </si>
  <si>
    <t>1500А  GOST  1284,1-89</t>
  </si>
  <si>
    <t>Ремень (дробилка ДГШ, )</t>
  </si>
  <si>
    <t>1500-1550 "А"</t>
  </si>
  <si>
    <t>Ремень клиновый  (гр насос АНБ 22)</t>
  </si>
  <si>
    <t>пр.В 1500мм</t>
  </si>
  <si>
    <t>Ремень (кернорезный станок)</t>
  </si>
  <si>
    <t>Ремень (глиномешалка ГКЛ)</t>
  </si>
  <si>
    <t>Ремень клиновий (Шековая дробилка)</t>
  </si>
  <si>
    <t>Расчетная длина		мм	1700
Внутренняя длина		мм	1640</t>
  </si>
  <si>
    <t>Ремень (Глиномишалка ГКЛ)</t>
  </si>
  <si>
    <t>1900-1950 "А"</t>
  </si>
  <si>
    <t>Ремень клиновий (Истиратель ИДА 250)</t>
  </si>
  <si>
    <t xml:space="preserve">2000 (Б) </t>
  </si>
  <si>
    <t>Ремень клиновой (Глиномишалка ГКЛ)</t>
  </si>
  <si>
    <t>2560D</t>
  </si>
  <si>
    <t>ESD-9 S-15</t>
  </si>
  <si>
    <t>ESD-9 S-15 S-21</t>
  </si>
  <si>
    <t xml:space="preserve"> Трубодержатель</t>
  </si>
  <si>
    <t xml:space="preserve">Вращатель в сборе с гидромотором </t>
  </si>
  <si>
    <t>S-15 S-21</t>
  </si>
  <si>
    <t>ESD-9</t>
  </si>
  <si>
    <t>S-15 S-21 Boyles C6</t>
  </si>
  <si>
    <t xml:space="preserve"> S-15 S-21 ESD-9</t>
  </si>
  <si>
    <t>S-15 S-21 ESD-9</t>
  </si>
  <si>
    <t xml:space="preserve"> S-15 S-21</t>
  </si>
  <si>
    <t>ESD-9 S-15 S21</t>
  </si>
  <si>
    <t>Цилиндр подачи</t>
  </si>
  <si>
    <t>Шпонки</t>
  </si>
  <si>
    <t>Вал промежуточной шестерни</t>
  </si>
  <si>
    <t xml:space="preserve"> S-21</t>
  </si>
  <si>
    <t>Комплект уплотнений аутриггера</t>
  </si>
  <si>
    <t>Комплект для зарядки газовой пружины</t>
  </si>
  <si>
    <t>Дизельный двигатель Volvo Penta TAD540VE</t>
  </si>
  <si>
    <t>3725 0002 73</t>
  </si>
  <si>
    <t>RX-4</t>
  </si>
  <si>
    <t>Топливный насос QSB-6.7</t>
  </si>
  <si>
    <t>Прокладка головки цилиндров QSB-6.7</t>
  </si>
  <si>
    <t>Наименование</t>
  </si>
  <si>
    <t>Кол-во</t>
  </si>
  <si>
    <t xml:space="preserve">Пўлат айлана Ø32 мм </t>
  </si>
  <si>
    <t xml:space="preserve">Ст 45 ГОСТ 8560-78 </t>
  </si>
  <si>
    <t xml:space="preserve">1 м-6,31кг (6 метровая-37,86кг) 5 шт=0,19тн  </t>
  </si>
  <si>
    <t xml:space="preserve">1 м-9,89кг (6 метровая-59,3кг) 27 шт=1,6 тн  </t>
  </si>
  <si>
    <t xml:space="preserve">Ст 45 ГОСТ 8560-79 </t>
  </si>
  <si>
    <t xml:space="preserve">1 м-12,48кг (6 метровая-74,88 кг) 7 шт=0,53тн  </t>
  </si>
  <si>
    <t xml:space="preserve">1 м-39,57кг (6 метровая-237,42кг) 1 шт=0,237тн  </t>
  </si>
  <si>
    <t xml:space="preserve">1 м-6,31кг (6 метровая-37,86кг) 42 шт=1,59тн  </t>
  </si>
  <si>
    <t xml:space="preserve">1 м-7,99кг (6 метровая-47,94кг) 31 шт=1,486тн  </t>
  </si>
  <si>
    <t xml:space="preserve">1 м-9,86кг (6 метровая-59,16кг) 15 шт=0,887тн  </t>
  </si>
  <si>
    <t xml:space="preserve">1 м-12,48кг (6 метровая-74,9кг) 8 шт=0,6тн  </t>
  </si>
  <si>
    <t xml:space="preserve">1 м-15,4кг (6 метровая-92,5кг) 3 шт=0,277тн  </t>
  </si>
  <si>
    <t xml:space="preserve">1 м-22,19кг (6 метровая-133кг) 7 шт=0,931тн  </t>
  </si>
  <si>
    <t xml:space="preserve">1 м-30,2кг (6 метровая-181,3кг) 2 шт=0,36тн  </t>
  </si>
  <si>
    <t xml:space="preserve">1 м-39,46кг (6 метровая-236,76кг) 1 шт=0,236тн  </t>
  </si>
  <si>
    <t xml:space="preserve">1 м-49,94кг (6 метровая-299,64кг) 4 шт=1,2тн  </t>
  </si>
  <si>
    <t xml:space="preserve">1 м-61,43кг (6 метровая-368,58кг) 1 шт=0,368тн  </t>
  </si>
  <si>
    <t xml:space="preserve">1 м-14,92кг (1 метровая-14,92кг) 12 шт=0,18тн  </t>
  </si>
  <si>
    <t>Чугунная болванка круг чугунный (серый чугун) 270 мм длиной 500 мм</t>
  </si>
  <si>
    <t>ГОСТ 1412-85</t>
  </si>
  <si>
    <t>Диаметр 270 мм, длина 500 мм.</t>
  </si>
  <si>
    <t>Чугунная болванка круг чугунный (серый чугун) 75 мм длиной 500 мм</t>
  </si>
  <si>
    <t>ГОСТ 1412-85 диаметр 75 мм длиной 500 мм</t>
  </si>
  <si>
    <t>Диаметр 75 мм, длина 500 мм.</t>
  </si>
  <si>
    <t xml:space="preserve">1 м-0,89кг (6 метровая-5,34кг) 94 шт=0,5тн  </t>
  </si>
  <si>
    <t xml:space="preserve">1 м-1,21кг (6 метровая-7,26кг) 413 шт=3тн  </t>
  </si>
  <si>
    <t xml:space="preserve">1 м-1,58кг (6 метровая-9,48кг) 316 шт=3тн  </t>
  </si>
  <si>
    <t xml:space="preserve">1 м-3,29кг (1 метровая-3,29кг) 576 шт=1,9тн  </t>
  </si>
  <si>
    <t xml:space="preserve">1 м-8,81кг (1 метровая-8,81кг) 55 шт=0,484тн  </t>
  </si>
  <si>
    <t xml:space="preserve">1 м-2,45кг (6 метровая-14,7кг) 109 шт=1,6тн  </t>
  </si>
  <si>
    <t xml:space="preserve">1 м-3,9кг (1 метровая-3,9кг) 128 шт=0,5тн  </t>
  </si>
  <si>
    <t>Шестигранник Ø46 мм</t>
  </si>
  <si>
    <t xml:space="preserve">1 м-14,37кг (1 метровая-14,37кг) 21 шт=0,3тн  </t>
  </si>
  <si>
    <t xml:space="preserve">1 м2-31,4 кг (1500х6000 мм-282,6кг)  2шт=0,565тн  </t>
  </si>
  <si>
    <t xml:space="preserve">1 м2-78,5 кг (1500х6000 мм-706,5кг)  6шт=4,2тн  </t>
  </si>
  <si>
    <t xml:space="preserve">1 м2-109,9 кг (1500х3000 мм-494,5кг)  4шт=2тн  </t>
  </si>
  <si>
    <t xml:space="preserve">1 м2-235,5 кг (1500х1500 мм-530кг)  1шт=0,53тн  </t>
  </si>
  <si>
    <t xml:space="preserve">1 м-2,39 кг (6 метровая-14,34кг)  132шт=1,9тн  </t>
  </si>
  <si>
    <t xml:space="preserve">1 м-3,77 кг (6 метровая-22,62кг)  88шт=2тн  </t>
  </si>
  <si>
    <t xml:space="preserve">1 м-21 кг (6 метровая-126кг)  8шт=2тн  </t>
  </si>
  <si>
    <t>Швеллер №20У</t>
  </si>
  <si>
    <t xml:space="preserve">1 м-18,40 кг (6 метровая-110,4кг)  18шт=2тн  </t>
  </si>
  <si>
    <t>УОНИ Ø3 мм (переменный ток)</t>
  </si>
  <si>
    <t>УОНИ Ø4 мм (переменный ток)</t>
  </si>
  <si>
    <t xml:space="preserve">Аккумлятор </t>
  </si>
  <si>
    <t xml:space="preserve"> 6СТ 190А 12В</t>
  </si>
  <si>
    <t>BOYLES C6 - 2 шт, DBC S-15 - 4 шт, УРБ 2А2Д - 2 шт, RX-4 - 1 шт, ЭД- 120 ДЭС - 2 шт, Компрессор POXAIR - 2 шт, УРБ 2А-2Д Камаз 43114 - 2 шт, Компрессор ВВП25/12 - 2 шт, ДЭС ЭЛКОСС - 2 шт, ДЭС - 4 шт, Копмрессор - 4 шт, DBC ESD-9 - 4 шт</t>
  </si>
  <si>
    <t>6СТ 132А 12В</t>
  </si>
  <si>
    <t>XAVS-166 - 2 шт, XAVS-186 - 2 шт, САГ АД-4001 - 1 шт, САГ АД-4004 - 1 шт, Z-700 - 2 шт, ДЭС GF3-150 - 2 шт, ДЭС АД-30 - 2 шт, PFL-8 - 2 шт, DBC ESD-9 - 4 шт, Hanjin D&amp;B 10D - 6 шт</t>
  </si>
  <si>
    <t>жуфт</t>
  </si>
  <si>
    <t>Модел Sinus N 0003 2S XBK2                                                                                                                                      Параметры сети АС1РН 200-230 V 50/60Hz 16A,   Выходные характеристики AC3PH 0 INPUT V 0-400Hz 8A 3.0kVA,  Мощность двигателя 1.8kW</t>
  </si>
  <si>
    <t xml:space="preserve"> Геофизика бўлимидаги қудуқларда геофизик тадқиқот маълумотларни сақлаш учун тажриба методика бўлимига 4 дона ва геофизи бўлимига 4 дона ишчи ходимларга тарқатилади.</t>
  </si>
  <si>
    <t xml:space="preserve">Қудуқларда геофизик тадқиқот ишларидан олинган маълумотларни сақлаш учун геофизи бўлимига 2 дона ва тажриба методик бўлимига 1 дона тарқатилади. </t>
  </si>
  <si>
    <t xml:space="preserve">Ангрен отрятидаги қудуқларда геофизик тадқиқот ишларидан олинган маълумотларни қайта ишлашда,чоп этишда ишлатилаётган 2 дона HP DesignJet T120 принтеридаги головка яроқсиз холатга келётганлиги учун  </t>
  </si>
  <si>
    <t>туплам</t>
  </si>
  <si>
    <t xml:space="preserve"> Геофизика бўлимида хозирги кунда офисни кампютирларида мавжуд бўлган клавиатура ва мишкалар яроқсиз холатга келганлиги учун  Қизилқум каротаж отриятига 3 туплам,  Самарқанд каротаж отриятига 4 туплам,  Ангрен каротаж отриятига 5 туплам Тажриба методик  бўлимига 9 тупламдан тарқатилади.</t>
  </si>
  <si>
    <t xml:space="preserve">Геофизика бўлимидаги Ангрен отрятидаги HP DesignJet T120 принтерига ўрнатилади ва маьлумотларни  чоп этишда ишлатилинади. </t>
  </si>
  <si>
    <t>Механика</t>
  </si>
  <si>
    <t>Тиски слесарные Yato YT-65048</t>
  </si>
  <si>
    <t>Технические характеристики Вес брутто (кг) 20.5000
Размер челюсти [дюйм] 6
Размер челюсти [мм] 150
Материал чугун
Тип крепления поворотные</t>
  </si>
  <si>
    <t>Таль Yall 2т 9м ручной</t>
  </si>
  <si>
    <t>Тали - это подвесные устройства, предназначенные для подъема груза. Иногда в строительных работах тали незаменимы, когда приходится работать с тяжелыми грузами. Мы предоставляем вам тали, которые предназначены для грузов с максимальным весом от 1 до 20 тонн, а высота подъема - от 3 до 12 метров. Наши тали сверхпрочны и долговечны. Пожалуйста, перед покупкой обязательно уточняйте цены, указанные на сайте у продавца по телефону. Имеется любая форма оплаты. Электроинструменты в Ташкенте в Узбекистане - продажа, производство Интернет-магазин PROFI TOOLS предлагает купить электроинструменты в Узбекистане на максимально выгодных для вас условиях. Самый насыщенный ассортимент, продукция от ведущих производителей, выгодные оптовые и розничные цены — только некоторые преимущества нашей продажи. Компания осуществляет доставку электроинструментов в Ташкенте и других городах РУз. Здесь проводятся акции со скидками и подарками, а также предоставляются услуги квалифицированных консультантов.</t>
  </si>
  <si>
    <t>Набор инструмент Yato YT-39009</t>
  </si>
  <si>
    <t>Описание YATO YT-39009. Подборка профессионального инструмента для электриков и электромонтажников. Содержит 68 специально отобранных инструментов. Это отличное предложение как для автомобильной отрасли,так и для мастеров, выполняющих базовые работы по ремонту оборудования. Плоскогубцы и отвертки в наборе имеют изолированные ручки выдерживающие пробой до 1000 Вольт.Комплектация:Головки 1/4": 4, 4.5, 5, 5.5, 6, 7, 8, 9, 10, 11, 12, 13 мм;Биты 1/4": плоские: 3, 4, 5, 5.5, 6 мм; PH1, PH2, PH3; Т8, Т10, Т15, T20, T25, T27; 6-гранные: 2, 2.5, 3, 4, 5, 6 мм.Адаптер для бит: 1/4"х1/4" YT-1297.  Отвёртка под квадрат: 1/4"х150 мм.  YT-1427Отвёртки плоские: до 1000 В: 4х75 мм,5.5х125 .  ммОтвёртки крестовые диэлектричные: до 1000 В : PH1х80, PH2х100.Набор точных часовых отвёрток: 1.4х50, 2х50, 2.4х50, PH00х50, PH0х50, PH1х50 YT-25861.Ключи шестигранные: 1.5, 2, 2.5, 3, 4, 5, 6, 7, 8, 10 мм;Бокорезы: 160 мм (до 1000В) YT-21158.Утконосы: 160 мм (до 1000В) YT-21154.Ключ разводной цельный: 19х150 мм (чёрный) YT-2071.Нож складной: 190 мм YT-7601.Нож с отломным лезвием: 9 мм YT-7502.Электропаяльник стержневой: 60 В YT-8271.Тестер напряжения цифровой: 12-250V c дисплеем YT-2861.Клещи-автомат для снятия изоляции: 175 мм YT-2268.Пинцет антимагнитный кислотостойкий прямой: 140 мм HRC 30 YT-6903.Рулетка: 3 м х 19 мм (стальная лента с нейлоновым покрытием с миллиметровой шкалой) YT-7150.Фонарик алюминиевый: 9 LED YT-08570.Изолента: 19 мм х 20 м черная YT-8165.Мультиметр цифровой: 500В YT-73080.Шприц для удаления припоя YT-82742</t>
  </si>
  <si>
    <t>JTC-H156C Набор инструментов 156 предметов 1/4",1/2"   6-ти гран.</t>
  </si>
  <si>
    <t>В комплекте:
12 шт. головки 1/4" (6РТ): 4, 4.5, 5, 5.5, 6, 7, 8, 9, 10, 11, 12, 13 мм.
8 шт. головки глубокие 1/4" (6РТ): 6, 7, 8, 9, 10, 11, 12, 13 мм.
5 шт. головки TORX 1/4": Е4, Е5, Е6, Е7, Е8.
20 шт. головки 1/2" (6РТ): 8, 9, 10, 11, 12, 13, 14, 15, 16, 17, 18, 19, 20, 21, 22, 23, 24, 27, 30, 32 мм.
5 шт. головки глубокие 1/2" (6РТ): 14, 15, 17, 19, 22 мм.
6 шт. головки TORX 1/2": Е10, Е12, Е14, Е16, Е18, Е20.
1 шт. трещотка 1/4".
3 шт. удлинитель 1/4", 50 мм., 100 мм., 150 мм.
1 шт. кардан 1/4".
1 шт. вороток-отвертка 1/4", 150 мм.
1 шт. удлинитель 1/4", 150 мм.
1 шт. держатель для бит 1/4".
1 шт. переходник 3/8"(F)х1/4"(М).
1 шт. свечная головка 1/2", 14 мм. (12РТ)
2 шт. свечная головка 1/2", 16 мм. (6РТ) и 21 мм. (6РТ)
1 шт. трещотка 1/2".
2 шт. удлинитель 1/2", 125 мм. и 250 мм.
1 шт. кардан 1/2".
1 шт. переходник 3/8"(F)х1/2"(М).
1 шт. держатель для бит 5/16".
1 шт. вороток с шарниром 380 мм.
1 шт. вороток Г-образный 260 мм.
27 шт. биты 1/4": (S2, длина 25 мм.):
6 шт. HEX: 2, 2.5, 3, 4, 5, 6 мм.
7 шт. TORX (с отверстием): Т10Н, Т15Н, Т20Н, Т25Н, Т27Н, Т30Н, Т40Н.
7 шт. TORX: Т10, Т15, Т20, Т25, Т27, Т30, Т40.
3 шт. SL: 4, 5.5, 6.5 мм.
2 шт. PZ: PZ1, PZ2.
2 шт. РН: РН1, РН2.
7 шт. биты 5/16": (S2, длина 30 мм.):
1 шт. РН: РН3.
4 шт. HEX: 8, 10, 12, 14 мм.
2 шт. TORX: Т45, Т50.
17 шт. ключ рожково-накидной: 6, 7, 8, 9, 10, 12, 13, 14, 15, 16, 17, 18, 19, 21, 22, 24 мм.
4 шт. ключ разрезной: 8х10, 11х13, 12х14, 17х19 мм.
9 шт. Г-образный ключ HEX: 1.5, 2, 2.5, 3, 4, 5, 6, 8, 10 мм.
1 шт. пассатижи 7".
1 шт. бокорезы 6".
1 шт. клещи с фиксатором 10".
1 шт. молоток 500 г.
5 шт. набор выколоток и зубил:
1 шт. выколотка (4х9.5х150 мм.).
1 шт. коническое зубило (5х9.5х130 мм.).
1 шт. зубило (12х9.5х130 мм.).
1 шт. коническая выколотка (3х9.5х120 мм.).
1 шт. кернер (2х9.5х120 мм.)
7 шт. отвертки с антискользящей рукояткой:
4 шт. РН: РН1х75 мм., РН2х38 мм. (укороч.) РН2х100 мм. (ударная), РН3х150 мм.,
3 шт. SL: 3х75 мм., 6.5х38 мм. (укороч.), 6.5х100 мм. (ударная).
Упаковка: прочный переносной кейс.
Габаритные размеры: 570/440/150 мм. (Д/Ш/В)
Вес: 15800 г.</t>
  </si>
  <si>
    <t>набор</t>
  </si>
  <si>
    <t>Материалы для изготовления керновых ящиков</t>
  </si>
  <si>
    <t>Лента стальная упаковочная ширина 16мм,толщина  0.2мм</t>
  </si>
  <si>
    <t>Управление</t>
  </si>
  <si>
    <t>Кызылкумская ЦГРЭ</t>
  </si>
  <si>
    <t>Гиссарская ЦРГЭ</t>
  </si>
  <si>
    <t>Самаркандская ЦГРЭ</t>
  </si>
  <si>
    <t>Ташкентская ЦГРЭ</t>
  </si>
  <si>
    <t>ЦЛ</t>
  </si>
  <si>
    <t>Даугызская ПЭ</t>
  </si>
  <si>
    <t>Кокпатасская ПЭ</t>
  </si>
  <si>
    <t>Сурханская ПЭ</t>
  </si>
  <si>
    <t xml:space="preserve">Управление </t>
  </si>
  <si>
    <t>Северо-Нур ПЭ</t>
  </si>
  <si>
    <t>Зармитанская ПЭ</t>
  </si>
  <si>
    <t>Алмалыкская</t>
  </si>
  <si>
    <t>Ингичка</t>
  </si>
  <si>
    <t xml:space="preserve">1. Согласно вакансиям по штатному расписанию               13 к-т + 7 к-т на замену имеющимся в управлении закупок, которые числятся на балансе "Геотехтаъминот" 2. Для замены в экспедициях морально устаревшим      </t>
  </si>
  <si>
    <t xml:space="preserve">1. Согласно вакансиям по штатному расписанию 2 к-т + 1 к-т на замену имеющемуся в управлении закупок, которые числятся на балансе "Геотехтаъминот" 2.  Для замены в экспедициях морально устаревшим        </t>
  </si>
  <si>
    <t xml:space="preserve">1. Согласно вакансиям по штатному расписанию в геологичесикй отдел 2.  Для замены в экспедициях морально устаревшим </t>
  </si>
  <si>
    <t xml:space="preserve">Настольный ПК (категория 4) </t>
  </si>
  <si>
    <t>Core i5 не менее 12ххх поколения (или AMD Ryzen 5), не менее 16 Гб ОЗУ, 256 Гб SSD (или nvme) с экраном 27 дюйма 
+ ИБП (1000ВА) + комплект клавиатура\мышь + пилот 5 розеток 3м</t>
  </si>
  <si>
    <t>На замену имеющемуся моноблоку (имеющийся числится на балансе "Геотехтаъминот"), который находится не на балансе АО</t>
  </si>
  <si>
    <t xml:space="preserve">Ноутбук (категория 2) </t>
  </si>
  <si>
    <t>Core i5 не менее 12ххх поколения (или AMD Ryzen 5), 16 Гб ОЗУ, 256 Гб SSD (или nvme) с экраном 15,6 дюйма 
+ комплект клавиатура\мышь + сумка</t>
  </si>
  <si>
    <t>Для начальника управления координации и анализа закупок - Костюченко И.Е.</t>
  </si>
  <si>
    <t>Для экономистов Ташкентской ЦГРЭ (для командировок)</t>
  </si>
  <si>
    <t xml:space="preserve">Принтер Epson L850 A4, струйное </t>
  </si>
  <si>
    <t>Принтер формата А4</t>
  </si>
  <si>
    <t>Лазерный Ч/Б</t>
  </si>
  <si>
    <t>1.Для Заместителя Председателя правления - директору по закупкам - Когай С.О.                           2. Начальнику управления координации и анализа закупок - Костюченко И.Е.</t>
  </si>
  <si>
    <t>Epson printer А3</t>
  </si>
  <si>
    <t>Для Ташкентской ЦГРЭ и ЦЛ</t>
  </si>
  <si>
    <t>МФУ</t>
  </si>
  <si>
    <t>1.Начальнику управления закупок - Исмоилову З.З. - 1 шт. 2. Отдел мониторинга - 1 шт. 3. Отдел маркетинга - 1шт. 4. Отдел МТС - 1 шт. 5. Отдел Закупа - 1шт. 6. Юридический отдел - 1шт.               7. Начальнику управделами - 1шт. Все МФУ для замены имеющимся, которые находятся на балансе "Геотехтаъминот"</t>
  </si>
  <si>
    <t>Гиссарская экспедиция (пресс-служба)</t>
  </si>
  <si>
    <t>Для ЦГРЭ</t>
  </si>
  <si>
    <t>Доукомплектаци стационарных ПК</t>
  </si>
  <si>
    <t>Сканер формата А3</t>
  </si>
  <si>
    <t xml:space="preserve">Для сканирования геологических документов </t>
  </si>
  <si>
    <t>Curved Monitor, VA, 60Hz, 4mc, UHD (3840x2160) 4K, HDMI+DP, Silver</t>
  </si>
  <si>
    <t>Для бесперебойной работы ПК при скачках напряжения</t>
  </si>
  <si>
    <t xml:space="preserve"> Ангрен каротаж отрядига тьмирлаш ишларида ишлатилади.</t>
  </si>
  <si>
    <t xml:space="preserve">1) махсус автомобиль КАМАЗ-43118  дав.раками 10 426 LCA га 1 донадан ўрнатилинади ва оғир юкларни кўтариб тушириш учун                                                                             2) махсус автомобиль ГАЗ-33081  дав.раками 10 462 ZAA га 1 донадан ўрнатилинади ва оғир юкларни кўтариб тушириш учун       </t>
  </si>
  <si>
    <t xml:space="preserve">Партияга янги келган махсус каротаж автостанцияларга:  1) махсус автомобиль КАМАЗ-43118  дав.раками 10 426 LCA га 1 к-т                                                                           2)махсус автомобиль ГАЗ-33081  дав.раками 10 462 ZAA га 1 к-т                                                                                            3) махсус автомобиль УАЗ-39099504   дав.раками 10   349 SBA га 1 к-т                                                                                   4) махсус автомобиль УАЗ-39099504   дав.раками 01  986 FJA га 1 к-т                                                                                    5) махсус автомобиль УАЗ-390995 дав.раками 01 065 DLA га 1 к-т                                                                                            6) махсус автомобиль УАЗ-390995 дав.раками 85 578 КАА га 1 к-тдан тарқатилади. Мақсад махсус автомобильларга ўрнатилган  каротаж станциясиялардаги  асбобларини уз вақтида таъмирлаш ишлари олиб бориш учун. </t>
  </si>
  <si>
    <t>Партияга янги келган махсус каротаж автостанцияларга: 1) махсус автомобиль КАМАЗ-43118  дав.раками 10 426 LCA га 1 дона                                                                               2) махсус автомобиль УАЗ-390995 дав.раками 01 065 DLA га 1 дона                                                                                           3) махсус автомобиль УАЗ-390995 дав.раками 85 578 КАА  га 1 дона                                                                                            4) махсус автомобиль УАЗ-39099504   дав.раками 01 560 WGA га 1 дона                                                                             5) Хисор МГҚЭ сидан махсус автомобиль олиб келинади шунга 1дан                                                                                        6) геофизика асбоб ускуналарини созловчи мухандисга 1 донадан тарқатилади.Мақсад махсус автомобиларни уз вақтида таьмирлаш  ва приборларни ишлаш сфатини яхшилаш учун.</t>
  </si>
  <si>
    <t>Ушбу восита отрядларда бўлмаганлиги сабабли Қизилқум каротаж отриятига 3 дона,  Самарқанд каротаж отриятига 3 дона , Ангрен каротаж отриятига 3 дона тарқатилади.</t>
  </si>
  <si>
    <t>Қизилқум каротаж отриятига 60 дона,  Самарқанд каротаж отриятига 70 дона , Ангрен каротаж отриятига 70 дона тарқатилади.</t>
  </si>
  <si>
    <t xml:space="preserve">Қизилқум каротаж отриятига 1 дона,  Ангрен каротаж отриятига 1 дона ВЕЛКО ГИО лебёткаларидаги Частотный преобразователь яроқсиз холга келган. </t>
  </si>
  <si>
    <t xml:space="preserve"> Партияга янги келган махсус автомобиль КАМАЗ-43118  дав.раками 10 426 LCA даги каротаж станциясига  ўрнатилади</t>
  </si>
  <si>
    <t>Қуидаги каротаж станциясидаги ускуналардаги электр хисобини ўчашда таъминлаш учун;                                                                                                         1) махсус автомобиль КАМАЗ-43502  дав.раками 10 638 ТВА га 1 дона.                                                                              2) махсус автомобиль КАМАЗ-4318104810  дав.раками 10 204  ВСА га 1 дона.                                                                      3) махсус автомобиль ГАЗ-33081  дав.раками  10 462 ZAА га 1дона.                                                                                         4) махсус автомобиль КАМАЗ-43118  дав.раками 10 426 LCA га 1 дона.                                                                                5) махсус автомобиль УАЗ-39099504   дав.раками 10 349 SBA га 1 дона.                                                                                     6) махсус автомобиль УАЗ-39099504   дав.раками 01 986 FJA га 1 дона.                                                                                                7) махсус автомобиль УАЗ-39099504   дав.раками 01 560 WGA 1 дона.                                                                                       8)  махсус автомобиль УАЗ-39091   дав.раками 01 031 HLA га 1 дона.                                                                                             9) махсус автомобиль УАЗ-390995 дав.раками 01 065 DLA га 1 дона                                                                                           10) махсус автомобиль УАЗ-390995 дав.раками 85 578 КАА ларига ўрнатилинади</t>
  </si>
  <si>
    <t xml:space="preserve"> Ангрен каротаж отриятига 3 дона тарқатилади иншоотлари ва устахоналарини ёритиш ускунаси сифатида ишлатиш учун.</t>
  </si>
  <si>
    <t xml:space="preserve"> Самарқанд каротаж отриятига 3 дона,Ангрен каротаж отриятига 3 дона тарқатилади иншоотлари ва устахоналарини ёритиш ускунаси сифатида ишлатиш учун. </t>
  </si>
  <si>
    <t xml:space="preserve"> Қизилқум каротаж отриятига 3 дона,Ангрен каротаж отриятига 3 донадан каротаж станциясига ўрнатилади.</t>
  </si>
  <si>
    <t>Қизилқум каротаж отриятига 100 метр,Ангрен каротаж отриятига 150 метрдан каротаж станциясидаги кабельлар алмаштирилади.</t>
  </si>
  <si>
    <t xml:space="preserve">Қизилқум каротаж отриятига 1 дона,  Ангрен каротаж отриятига 1 дона ВЕЛКО ГИО лебёткаларидаги электродвигателлари яроқсиз холга келган. </t>
  </si>
  <si>
    <t xml:space="preserve"> Махсус автомобиль КАМАЗ-4318104810  дав.раками 10 204  ВСА даги станциясидаги электродвигател яроқсиз холга келган</t>
  </si>
  <si>
    <t xml:space="preserve"> Ангрен каротаж отриятига 2 дона тарқатилади.</t>
  </si>
  <si>
    <t>Қизилқум каротаж отриятига 3 дона,  Самарқанд каротаж отриятига 1 дона,  Ангрен каротаж отриятига 4 донадан ишчи ходимлар хоналарига тарқатилади.</t>
  </si>
  <si>
    <t>Қуидаги каротаж станциясидаги ускуналардаги электр билан таъминлаш учун;                                                                                                         1) махсус автомобиль КАМАЗ-43502  дав.раками 10 638 ТВА га 1 дона.                                                                              2) махсус автомобиль КАМАЗ-4318104810  дав.раками 10 204  ВСА га 1 дона.                                                                      3) махсус автомобиль ГАЗ-33081  дав.раками  10 462 ZAА га 1дона.                                                                                         4) махсус автомобиль КАМАЗ-43118  дав.раками 10 426 LCA га 1 дона.                                                                                5) махсус автомобиль УАЗ-39099504   дав.раками 10 349 SBA га 1 дона.                                                                                     6) махсус автомобиль УАЗ-39099504   дав.раками 01 986 FJA га 1 дона.                                                                                                7) махсус автомобиль УАЗ-39099504   дав.раками 01 560 WGA 1 дона.                                                                                       8)  махсус автомобиль УАЗ-39091   дав.раками 01 031 HLA га 1 дона.                                                                                             9) махсус автомобиль УАЗ-390995 дав.раками 01 065 DLA га 1 дона                                                                                           10) махсус автомобиль УАЗ-390995 дав.раками 85 578 КАА ларига ўрнатилинади</t>
  </si>
  <si>
    <t>Қизилқум каротаж отриятига 40 метр,  Самарқанд каротаж отриятига 40 метр,  Ангрен каротаж отриятига 20 метр тарқатилади. Катотаж станцияларда  (заземления)  кательлар алмаштириш ва ўрнатиш учун</t>
  </si>
  <si>
    <t>Қизилқум каротаж отриятига 4 дона,  Самарқанд каротаж отриятига 4 дона,  Ангрен каротаж отриятига 2 дона тарқатилади.</t>
  </si>
  <si>
    <t>Қизилқум каротаж отриятига 2 дона,  Ангрен каротаж отриятига 1 дона Кобра Лайт лебёткаларидаги (Частотный преобразователь) лардан 2 донаси яроқсиз холга келмоқда. 1 донаси захирага олиб қўйилади.каротаж стацияларни ишлатаётганда частота ўзгаришини бир хил кўрсаткичда ушлаб туриши учун</t>
  </si>
  <si>
    <t>Ушбу прибор ортядлар кўламида бўлмаганлиги сабабли станцияларни тамирлашда ишлатилади ва қуйидаги отрядларга тарқатилади: 1) Қизилқум каротаж отриятига 3 дона 2) Самарқанд каротаж отриятига 4 дона  3) Ангрен каротаж отриятига 3 дона</t>
  </si>
  <si>
    <t>Қуидаги каротаж станциясидаги ускуналарни узулуксиз электр токи билан таъминлашда ва 4 дона автомашиналарга алмаштиришда янги келган 6 дона автомашиналарни жихозлаш учун;                                                                                                         1) махсус автомобиль КАМАЗ-43502  дав.раками 10 638 ТВА га 1 дона.                                                                                               2) махсус автомобиль КАМАЗ-4318104810  дав.раками 10 204  ВСА га 1 дона.                                                                                   3) махсус автомобиль ГАЗ-33081  дав.раками  10 462 ZAА га 1дона.                                                                                               4) махсус автомобиль КАМАЗ-43118  дав.раками 10 426 LCA га 1 дона.                                                                                                 5) махсус автомобиль УАЗ-39099504   дав.раками 10 349 SBA га 1 дона.                                                                                                 6) махсус автомобиль УАЗ-39099504   дав.раками 01 986 FJA га 1 дона.                                                                                                 7) махсус автомобиль УАЗ-39099504   дав.раками 01 560 WGA 1 дона.                                                                                                  8)  махсус автомобиль УАЗ-39091   дав.раками 01 031 HLA га 1 дона.                                                                                                   9) махсус автомобиль УАЗ-390995 дав.раками 01 065 DLA га 1 дона                                                                                                  10) махсус автомобиль УАЗ-390995 дав.раками 85 578 КАА ларига ўрнатилинади</t>
  </si>
  <si>
    <t xml:space="preserve"> Қуйида кўрсатилган отрядларни ушбу восита бўлмаганлиги учун таминлаш мақсадида Қизилқум каротаж отриятига 2 дона,  Самарқанд каротаж отриятига 3 дона ,Тажриба методик  бўлимига 2 дона тарқатилади. </t>
  </si>
  <si>
    <t xml:space="preserve">Геофизика бўлимида хозирги кунда офис кампютирларида мавжуд бўлмаганлиги учун 4 дона,   Тажриба методик  бўлимига 4 дона компьютерларни узулуксиз электр токи билан таъминлаш учун  </t>
  </si>
  <si>
    <t>Геофизика</t>
  </si>
  <si>
    <t>Моторедуктор червячный одноступенчатый NMRV 110-50-28-4-D3</t>
  </si>
  <si>
    <t>Предназначен для изменение скорости вращение на выходном валу электро матора и передачи привода к каротажной лебёдки.</t>
  </si>
  <si>
    <t>Мавжуд  ва янгитдан йиғилаётган каротаж станциясининг геофизикавий асбобларини қудуқга тушириб чиқаришда фойдаланадиган мосламанинг (лебёдка) эскирган ва яроқсиз холтга келаётган моторедукторини алмаштириш ва янги йиғилаётганига қўйиш учун. КАМАЗ 10 638 ТВА дагини алмаштириш ва КАМАЗ 10 204 ВСА ўрнатиш учун.</t>
  </si>
  <si>
    <t>Контакт геофизический (Перо)</t>
  </si>
  <si>
    <t xml:space="preserve">Двусторонние штыревые электрические контакты предназначены для многократного надёжного электрического соединения  разъёмов скважинных приборов и кабельного наконечника.
</t>
  </si>
  <si>
    <t>Геофизикавий асбоблардан келадиган маълумотларни каротаж кабелига ва ундан қабул қилиб олувчи мосламага (регистратор) узатишда ишлатилади.</t>
  </si>
  <si>
    <t xml:space="preserve">Разъмы электрические для приборных головок скваженных приборов с тремя гнёздыми.
</t>
  </si>
  <si>
    <t>Для передачи данных между скважинной  прибором и геофизическим регистратором.</t>
  </si>
  <si>
    <t>Кабель грузонесущий бронированный. Марка кабеля КГЛ 3х0,35-24-150</t>
  </si>
  <si>
    <t>Предназначен для спуска и подъёма скважинных приборов в скважину и для передачи каротажный данных от прибора к регистратору.</t>
  </si>
  <si>
    <t xml:space="preserve">Геофизикавий асбобни қудуқга тушириб чиқаришда ва келадиган маълумотларни  қабул қилиб олувчи мосламага (регистратор) узатишда ишлатилади. Геофизика бўлимидаги мавжуд 4та каротаж станцияси Камаз 10 638 ТВА лебёдкасига эскирган-1600 м ўрнига, Камаз 10 204 ВСА лебёдкасига-1300м, Камаз 10 426 LCA лебёдкасига 2200 м, ГАЗ 33086 10 426 ZAA лебёдкасига-1200м ва 2 та Велко Гео лебёдкаси учун 800м дан жами 1600 м ва қолган 1300 м захира учун.  </t>
  </si>
  <si>
    <t>Кабель грузонесущий бронированный. Марка кабеля КГЛ 3х0,2-15-150</t>
  </si>
  <si>
    <t>Геофизикавий асбобни қудуқга тушириб чиқаришда ва келадиган маълумотларни  қабул қилиб олувчи мосламага (регистратор) узатишда ишлатилади. Геофизика бўлимидаги мавжуд 3 та Кобра Light лебёдкасига  750м дан 2250 м 2та қўл лебёдкаси учун 800 м жами 3050 м ва қолган 1950м захира учун.</t>
  </si>
  <si>
    <t xml:space="preserve">Моторедуктор червячный одноступенчатый 7МЧ-М-60-40-ПЦ25/БЛ-М524/200-(Т-20+40)//1,1-IH55                             </t>
  </si>
  <si>
    <t xml:space="preserve">Мавжуд каротаж станциясининг геофизикавий асбобларини қудуқларга тушириб чиқаришда фойдаланадиган мосламанинг (лебёдка) эскирган ва яроқсиз холтга келаётган электроматор ва редукторини алмаштириш учун. 2015 йили ишга туширилган 2 та Велко Гео каротж станцияси лебёдкасидаги моторедукторни  алмаштириш учун </t>
  </si>
  <si>
    <t>м.кв</t>
  </si>
  <si>
    <t>п/м</t>
  </si>
  <si>
    <t>Кран полипропиленовый 40 мм предназначен для полного перекрытия или частичного управления потока транспортируемой воды в системах водоснабжения и отопления. Кран является универсальным фитингом, который может быть использован в системах с любым видом полипропиленовых труб, будь то армированные или не армированные. Артикул P-0576781</t>
  </si>
  <si>
    <t>Кран шаровой полипропиленовый 32 мм для Отопления ГВС KAS UGL 25*1/2 Артикул P-0576779. для горячей воды</t>
  </si>
  <si>
    <t>Кран шаровой полипропиленовый 25 мм для Отопления ГВС KAS UGL 25*1/2 Артикул P-0576779. для горячей воды</t>
  </si>
  <si>
    <t>3мм</t>
  </si>
  <si>
    <t>Круг отрезной</t>
  </si>
  <si>
    <t>Набор ключей</t>
  </si>
  <si>
    <t>Кислород</t>
  </si>
  <si>
    <t>Для полевых работ</t>
  </si>
  <si>
    <t>Геологический молоток</t>
  </si>
  <si>
    <t>для отбора образец</t>
  </si>
  <si>
    <t xml:space="preserve">для отбора бораздовых проб </t>
  </si>
  <si>
    <t>Автаномная электростанция (для Husqvarna K4000 Wet)</t>
  </si>
  <si>
    <t>Генератор 6кв</t>
  </si>
  <si>
    <t xml:space="preserve">для резник электрический </t>
  </si>
  <si>
    <t>Алмазный диск  350 мм
Толщина: 2 мм внут диаметр 60</t>
  </si>
  <si>
    <t>для взвешивание пробы</t>
  </si>
  <si>
    <t>Весы электронные (50кг)</t>
  </si>
  <si>
    <t>для маркшейдру</t>
  </si>
  <si>
    <t>Лупа геологическая. Увеличение - 20х.,  Диаметр линзы - 21 мм.
Оптика -  стекло.  Корпус  - металл.
Цвет -  хром, золото.</t>
  </si>
  <si>
    <t>оприделение состав породы</t>
  </si>
  <si>
    <t>Компас горно-геологический</t>
  </si>
  <si>
    <t>оприделение элемента залегание горных пород</t>
  </si>
  <si>
    <t>Рюгзак 60 л для полевых работ</t>
  </si>
  <si>
    <t>Рюгзак 60 л</t>
  </si>
  <si>
    <t>Классическая сумка геолога</t>
  </si>
  <si>
    <t>Объем- 7л., Размер,35х28х7см</t>
  </si>
  <si>
    <t>Мешок спальный</t>
  </si>
  <si>
    <t>Шахтерский фонарь светодиодный</t>
  </si>
  <si>
    <t>Рулетка геодезическая</t>
  </si>
  <si>
    <t>Рулетка геодезическая 100 м</t>
  </si>
  <si>
    <t>Аналитичеких исследование</t>
  </si>
  <si>
    <t>Бумага без покрития для ч/б струйной печати, 80 г/м.кв,  914мм х 50м, диаметр втулки 50,8мм.</t>
  </si>
  <si>
    <t>для 10 полевая эксп</t>
  </si>
  <si>
    <t>Папка 1 см</t>
  </si>
  <si>
    <t>Папка 2 см</t>
  </si>
  <si>
    <t>Папка 3 см</t>
  </si>
  <si>
    <t>Папка 3см</t>
  </si>
  <si>
    <t>Скорошиватель пуржинах 20 листов</t>
  </si>
  <si>
    <t>Скорошиватель зажимах 20 листов</t>
  </si>
  <si>
    <t>Линейка стальная 50 см</t>
  </si>
  <si>
    <t>Линейка стальная Maxwell 50 см, 1.2 мм арт. MAX.8108 ПВХ чехол</t>
  </si>
  <si>
    <t>Линейка стальная 30 см</t>
  </si>
  <si>
    <t>Линейка стальная Maxwell 30 см, 1.2 мм арт. MAX.8108 ПВХ чехол</t>
  </si>
  <si>
    <t xml:space="preserve">Транспортир </t>
  </si>
  <si>
    <t xml:space="preserve">Угломер-транспортир </t>
  </si>
  <si>
    <t>Угломер-транспортир 10-170 (200х400 мм) Альфа-НДТ (с калибровкой)</t>
  </si>
  <si>
    <t xml:space="preserve">Картридж для отработанных чернил Памперс для плоттера Canon TM-300 </t>
  </si>
  <si>
    <t>Цифровой фотоаппарат</t>
  </si>
  <si>
    <t>для фотографирование керна</t>
  </si>
  <si>
    <t>Ноутбук</t>
  </si>
  <si>
    <t>Ноутбук HP Pavilion Gaming 17-cd2081ur 17.3" FHD/ Core i7-12000/ 32GB/ 1000GB SSD NVME/ GeForce RTX 3050Ti 8GB/ WiFi/ BT/ DOS (638F9EA)</t>
  </si>
  <si>
    <t>для Геобанк</t>
  </si>
  <si>
    <t>Процессора: 11th Gen Intel(R) Core(TM) i7-11700 2.50GHz 
Опиративная памят: Kingston DDR4 64GB Fury Beast RGB (32GBx2) 3600MHz (KF436C18BBAK2/64)                        Видеокарта: NVIDIA GeForce RTX 3070  Монитор: HP M27fw FHD 27" (2H1A4AA)   Жёсткие диск: 2 ТБ</t>
  </si>
  <si>
    <t>Защищенный планшет</t>
  </si>
  <si>
    <t xml:space="preserve">ОС Windows 10 Home/Pro/IOT 
Процессор Intel®Kabylake-Y Core™ m3-7Y30
Память 16GB/ DDR3
Порты ввода-вывода 
USB 2.0*1;USB 3.0*1;RJ45*1;Micro HDMI slot *1;
Камера: 2.0MP Фронтальная камера
8.0MP Тыловая камера (USB)
Батарея: 7.4V/5000mAh ; 7.4V/6300mAh
Накопитель: 512GB M.2
Экран: 11.6" 1920*1080 IPS
Защищенность: Ip65 / MIL-STD-810G
Размеры/вес: 305x205x16.5мм/ 2936г
Сбор данных: 2D Сканер штрихкода; Датчик отпечатка пальцев
Рабочая температура -10 °C to 50 °C
Температура хранения 30 °C to 70 °C
Влажность: 5% - 95%
</t>
  </si>
  <si>
    <t>Epson L800</t>
  </si>
  <si>
    <t>Чернила для принте L800 (6 цветов)</t>
  </si>
  <si>
    <t>Пурпурный</t>
  </si>
  <si>
    <t>голубой</t>
  </si>
  <si>
    <t>светло-голубой</t>
  </si>
  <si>
    <t>желтый </t>
  </si>
  <si>
    <t>черный</t>
  </si>
  <si>
    <t>Внешний диск</t>
  </si>
  <si>
    <t>Батарейка для JPS</t>
  </si>
  <si>
    <t>Сервер</t>
  </si>
  <si>
    <t>мошност не менее 1500W</t>
  </si>
  <si>
    <t>сетовой камутатор</t>
  </si>
  <si>
    <t>24 портов со скоростью передачи данных не менее 1000 Mb/s</t>
  </si>
  <si>
    <t>Wi-Fi  рутер</t>
  </si>
  <si>
    <t>Tp-link</t>
  </si>
  <si>
    <t xml:space="preserve"> шт</t>
  </si>
  <si>
    <t>Кабел сетовой UTP5 4 пары</t>
  </si>
  <si>
    <t>катигория - 5. 4 пары</t>
  </si>
  <si>
    <t>сетовая разетка RJ-45</t>
  </si>
  <si>
    <t xml:space="preserve">разетка внешняя (накладная), 1 порт RJ-45 (8P8C), неэранированная, катигория 5е </t>
  </si>
  <si>
    <t xml:space="preserve">Кабел сетовой UTP5 камутационный шнур </t>
  </si>
  <si>
    <t xml:space="preserve">камутационный шнур (патч-корд) U/UTP 4-x камутационный шнур парный cat.5e </t>
  </si>
  <si>
    <t>Штатиф для фотоаппарат</t>
  </si>
  <si>
    <t>Програмный комплекс</t>
  </si>
  <si>
    <t>Geobank</t>
  </si>
  <si>
    <t>система управление база данных продукт Micromine</t>
  </si>
  <si>
    <t>Geobank mobile</t>
  </si>
  <si>
    <t>система вывода геологических данных продукт Micromine</t>
  </si>
  <si>
    <t>Паспорт скв</t>
  </si>
  <si>
    <t>Паспорт скважины 2 с USB ключ</t>
  </si>
  <si>
    <t>для подготовит паспорт скв</t>
  </si>
  <si>
    <t>Маркшейдрский</t>
  </si>
  <si>
    <t>Беспилотный комплекс БПЛА для аэротопосъемки и аэромагнитносьемки (ГЕОСКАН)</t>
  </si>
  <si>
    <t>Беспилотное воздушное судно (БВС) Геоскан 401 и ли анолог Лазерный сканер АГМ МС 1.1. с инерциальной системой IMU33 и GNSS UBLOX или аноалог</t>
  </si>
  <si>
    <t>Магнитометрический комплекс для Аэромагнитная съемка (ГЕОСКАН)</t>
  </si>
  <si>
    <t>Магнитометрический комплекс «Геоскан 401 Геофизика» Чувствительность 1 пТл/√Гц, Диапазон измерения - 20 000–100 000 нТл, Общая девиационная ошибка - &lt; 0,3 нТл, Частота измерений- 1000 Гц, Полоса пропускания петли обратной связи-30 Гц, Диапазон допустимых углов датчика- ± 45°, Диапазон рабочих температур- от – 20 до + 40 °С</t>
  </si>
  <si>
    <t>Люминаскоп (флуресцентных ламп)</t>
  </si>
  <si>
    <t>мини лампа UV4BG,1x365нм, 4 ватная, BLB-трупка</t>
  </si>
  <si>
    <t>для определения вольфрам Гиссар ЦГРЭ</t>
  </si>
  <si>
    <t>№п/п</t>
  </si>
  <si>
    <t>510-033/1</t>
  </si>
  <si>
    <t>510-033</t>
  </si>
  <si>
    <t>510-103/1</t>
  </si>
  <si>
    <t>510-103</t>
  </si>
  <si>
    <t>510-034/1</t>
  </si>
  <si>
    <t>510-034</t>
  </si>
  <si>
    <t>510-104/1</t>
  </si>
  <si>
    <t>510-104</t>
  </si>
  <si>
    <t>510-035/1</t>
  </si>
  <si>
    <t>510-035</t>
  </si>
  <si>
    <t>510-105/1</t>
  </si>
  <si>
    <t>510-105</t>
  </si>
  <si>
    <t>530-435</t>
  </si>
  <si>
    <t>530-445</t>
  </si>
  <si>
    <t>530-436</t>
  </si>
  <si>
    <t>530-446</t>
  </si>
  <si>
    <t>530-455</t>
  </si>
  <si>
    <t>530-456</t>
  </si>
  <si>
    <t>510-803</t>
  </si>
  <si>
    <t>510-353</t>
  </si>
  <si>
    <t>510-333</t>
  </si>
  <si>
    <t>510-273</t>
  </si>
  <si>
    <t>510-343</t>
  </si>
  <si>
    <t>510-313</t>
  </si>
  <si>
    <t>510-303</t>
  </si>
  <si>
    <t>510-263</t>
  </si>
  <si>
    <t>510-283</t>
  </si>
  <si>
    <t>510-293</t>
  </si>
  <si>
    <t>510-253</t>
  </si>
  <si>
    <t>510-243</t>
  </si>
  <si>
    <t>510-233</t>
  </si>
  <si>
    <t>510-203</t>
  </si>
  <si>
    <t>510-193</t>
  </si>
  <si>
    <t>510-183</t>
  </si>
  <si>
    <t>510-163</t>
  </si>
  <si>
    <t>510-173</t>
  </si>
  <si>
    <t>510-153</t>
  </si>
  <si>
    <t>510-143</t>
  </si>
  <si>
    <t>510-113</t>
  </si>
  <si>
    <t>510-093</t>
  </si>
  <si>
    <t>510-083</t>
  </si>
  <si>
    <t>510-073</t>
  </si>
  <si>
    <t>510-063</t>
  </si>
  <si>
    <t>510-053</t>
  </si>
  <si>
    <t>510-043</t>
  </si>
  <si>
    <t>510-804</t>
  </si>
  <si>
    <t>510-354</t>
  </si>
  <si>
    <t>510-334</t>
  </si>
  <si>
    <t>510-274</t>
  </si>
  <si>
    <t>510-344</t>
  </si>
  <si>
    <t>510-314</t>
  </si>
  <si>
    <t>510-304</t>
  </si>
  <si>
    <t>510-264</t>
  </si>
  <si>
    <t>510-284</t>
  </si>
  <si>
    <t>510-294</t>
  </si>
  <si>
    <t>510-254</t>
  </si>
  <si>
    <t>510-244</t>
  </si>
  <si>
    <t>510-234</t>
  </si>
  <si>
    <t>510-224</t>
  </si>
  <si>
    <t>510-214/1</t>
  </si>
  <si>
    <t>510-204</t>
  </si>
  <si>
    <t>510-194</t>
  </si>
  <si>
    <t>510-184</t>
  </si>
  <si>
    <t>510-164</t>
  </si>
  <si>
    <t>510-174</t>
  </si>
  <si>
    <t>510-154</t>
  </si>
  <si>
    <t>510-144</t>
  </si>
  <si>
    <t>510-094</t>
  </si>
  <si>
    <t>510-084</t>
  </si>
  <si>
    <t>510-074</t>
  </si>
  <si>
    <t>510-064</t>
  </si>
  <si>
    <t>510-054</t>
  </si>
  <si>
    <t>510-044</t>
  </si>
  <si>
    <t>510-024</t>
  </si>
  <si>
    <t>510-392</t>
  </si>
  <si>
    <t>510-372</t>
  </si>
  <si>
    <t>510-362</t>
  </si>
  <si>
    <t>510-382</t>
  </si>
  <si>
    <t>510-322</t>
  </si>
  <si>
    <t>510-442</t>
  </si>
  <si>
    <t>510-132</t>
  </si>
  <si>
    <t>510-452</t>
  </si>
  <si>
    <t>510-502</t>
  </si>
  <si>
    <t>510-463</t>
  </si>
  <si>
    <t>510-473</t>
  </si>
  <si>
    <t>510-483</t>
  </si>
  <si>
    <t>510-714</t>
  </si>
  <si>
    <t>510-724</t>
  </si>
  <si>
    <t>510-704/41</t>
  </si>
  <si>
    <t>210-354</t>
  </si>
  <si>
    <t>210-364/2</t>
  </si>
  <si>
    <t>510-725</t>
  </si>
  <si>
    <t>510-705/41</t>
  </si>
  <si>
    <t>210-374/2</t>
  </si>
  <si>
    <t>510-895/1</t>
  </si>
  <si>
    <t>510-065</t>
  </si>
  <si>
    <t>510-055</t>
  </si>
  <si>
    <t>510-693</t>
  </si>
  <si>
    <t>510-013/1</t>
  </si>
  <si>
    <t>510-694</t>
  </si>
  <si>
    <t>510-014/1</t>
  </si>
  <si>
    <t>520-903</t>
  </si>
  <si>
    <t>520-323</t>
  </si>
  <si>
    <t>520-332</t>
  </si>
  <si>
    <t>520-312</t>
  </si>
  <si>
    <t>520-303</t>
  </si>
  <si>
    <t>520-293</t>
  </si>
  <si>
    <t>520-283</t>
  </si>
  <si>
    <t>520-273</t>
  </si>
  <si>
    <t>520-253</t>
  </si>
  <si>
    <t>520-262</t>
  </si>
  <si>
    <t>520-172</t>
  </si>
  <si>
    <t>520-343</t>
  </si>
  <si>
    <t>520-243</t>
  </si>
  <si>
    <t>520-233</t>
  </si>
  <si>
    <t>520-223</t>
  </si>
  <si>
    <t>520-213</t>
  </si>
  <si>
    <t>520-203</t>
  </si>
  <si>
    <t>520-193</t>
  </si>
  <si>
    <t>520-183</t>
  </si>
  <si>
    <t>520-103</t>
  </si>
  <si>
    <t>520-113</t>
  </si>
  <si>
    <t>520-163</t>
  </si>
  <si>
    <t>520-123</t>
  </si>
  <si>
    <t>520-143</t>
  </si>
  <si>
    <t>520-133</t>
  </si>
  <si>
    <t>520-144</t>
  </si>
  <si>
    <t>520-154</t>
  </si>
  <si>
    <t>520-145</t>
  </si>
  <si>
    <t>520-155</t>
  </si>
  <si>
    <t>520-913</t>
  </si>
  <si>
    <t>520-403/1</t>
  </si>
  <si>
    <t>520-403/2</t>
  </si>
  <si>
    <t>520-403/3</t>
  </si>
  <si>
    <t>520-403/4</t>
  </si>
  <si>
    <t>520-403/5</t>
  </si>
  <si>
    <t>520-403/6</t>
  </si>
  <si>
    <t>520-413</t>
  </si>
  <si>
    <t>520-423</t>
  </si>
  <si>
    <t>520-442</t>
  </si>
  <si>
    <t>510-683</t>
  </si>
  <si>
    <t>510-682/4</t>
  </si>
  <si>
    <t>213-100</t>
  </si>
  <si>
    <t>213-103</t>
  </si>
  <si>
    <t>213-104</t>
  </si>
  <si>
    <t>213-105</t>
  </si>
  <si>
    <t>213-108</t>
  </si>
  <si>
    <t>213-109</t>
  </si>
  <si>
    <t>213-107</t>
  </si>
  <si>
    <t>213-112</t>
  </si>
  <si>
    <t>213-200</t>
  </si>
  <si>
    <t>213-202</t>
  </si>
  <si>
    <t>213-203</t>
  </si>
  <si>
    <t>213-201</t>
  </si>
  <si>
    <t>213-214/1</t>
  </si>
  <si>
    <t>213-214</t>
  </si>
  <si>
    <t>213-204</t>
  </si>
  <si>
    <t>213-205</t>
  </si>
  <si>
    <t>213-206</t>
  </si>
  <si>
    <t>213-213</t>
  </si>
  <si>
    <t>213-212</t>
  </si>
  <si>
    <t>213-207</t>
  </si>
  <si>
    <t>213-209</t>
  </si>
  <si>
    <t>213-211</t>
  </si>
  <si>
    <t>213-208</t>
  </si>
  <si>
    <t>213-210</t>
  </si>
  <si>
    <t>213-127</t>
  </si>
  <si>
    <t>213-128</t>
  </si>
  <si>
    <t>213-225</t>
  </si>
  <si>
    <t>213-226</t>
  </si>
  <si>
    <t>213-227</t>
  </si>
  <si>
    <t>219-0560</t>
  </si>
  <si>
    <t>219-0740</t>
  </si>
  <si>
    <t>219-0700</t>
  </si>
  <si>
    <t>219-0935</t>
  </si>
  <si>
    <t>219-0890</t>
  </si>
  <si>
    <t>219-0966</t>
  </si>
  <si>
    <t>219-1210</t>
  </si>
  <si>
    <t>219-1150</t>
  </si>
  <si>
    <t>212-100</t>
  </si>
  <si>
    <t>212-123</t>
  </si>
  <si>
    <t>212-124</t>
  </si>
  <si>
    <t>212-125</t>
  </si>
  <si>
    <t>216-413</t>
  </si>
  <si>
    <t>216-414</t>
  </si>
  <si>
    <t>216-415</t>
  </si>
  <si>
    <t>216-204</t>
  </si>
  <si>
    <t>216-203</t>
  </si>
  <si>
    <t>216-223</t>
  </si>
  <si>
    <t>216-224</t>
  </si>
  <si>
    <t>Жесткий ключ RIDGID 18*</t>
  </si>
  <si>
    <t>219-402</t>
  </si>
  <si>
    <t>Верхний зажим для 18* дюймового ключа</t>
  </si>
  <si>
    <t>219-402S</t>
  </si>
  <si>
    <t>Нижний зажим для 18* дюймового ключа</t>
  </si>
  <si>
    <t>219-402I</t>
  </si>
  <si>
    <t>Жесткий ключ RIDGID 24*</t>
  </si>
  <si>
    <t>219-404</t>
  </si>
  <si>
    <t>Верхний зажим для 24* дюймового ключа</t>
  </si>
  <si>
    <t>219-404S</t>
  </si>
  <si>
    <t>Нижний зажим для 24* дюймового ключа</t>
  </si>
  <si>
    <t>219-404I</t>
  </si>
  <si>
    <t>Жесткий ключ RIDGID 36*</t>
  </si>
  <si>
    <t>Верхний зажим для 36* дюймового ключа</t>
  </si>
  <si>
    <t>Нижний зажим для 36* дюймового ключа</t>
  </si>
  <si>
    <t>ФИЛЬТРЫ</t>
  </si>
  <si>
    <t>Масляный фильтр Каптивы</t>
  </si>
  <si>
    <t>Топливный фильтр Каптивы</t>
  </si>
  <si>
    <t>Воздушный фильтр Каптивы</t>
  </si>
  <si>
    <t>МL1155</t>
  </si>
  <si>
    <t>Масляный фильтр Нивы</t>
  </si>
  <si>
    <t>FG702</t>
  </si>
  <si>
    <t>Топливный фильтр Нивы</t>
  </si>
  <si>
    <t>C22117</t>
  </si>
  <si>
    <t>Воздушный фильтр Нивы</t>
  </si>
  <si>
    <t>Масляный фильтр Кобальта</t>
  </si>
  <si>
    <t>96335719 или GB-3198</t>
  </si>
  <si>
    <t>Топливный фильтр Кобальта</t>
  </si>
  <si>
    <t>LA-1903</t>
  </si>
  <si>
    <t>Воздушный фильтр Кобальта</t>
  </si>
  <si>
    <t>Масляный фильтр погрузчика CPC D30</t>
  </si>
  <si>
    <t>A22A220701</t>
  </si>
  <si>
    <t>Топливный фильтр погрузчика CPC D30</t>
  </si>
  <si>
    <t>N150-311000-000</t>
  </si>
  <si>
    <t>Воздушный фильтр погрузчика CPC D30</t>
  </si>
  <si>
    <t>84228488 или LF17535</t>
  </si>
  <si>
    <t>Масляный фильтр автогрейдера GR-180, экскаватор New holland B90</t>
  </si>
  <si>
    <t>D638-002-903+A или P 55-7440</t>
  </si>
  <si>
    <t>Топливный фильтр автогрейдера GR-180</t>
  </si>
  <si>
    <t>800022297+02</t>
  </si>
  <si>
    <t>6114 GR180</t>
  </si>
  <si>
    <t>Воздушный фильтр автогрейдера GR-180</t>
  </si>
  <si>
    <t>5-87615000-0 или 8981650710</t>
  </si>
  <si>
    <t>Масляный фильтр Исузу Д-макс</t>
  </si>
  <si>
    <t>ISUZU CE 1398 M или 8981596930</t>
  </si>
  <si>
    <t>Топливный фильтр Исузу Д-макс</t>
  </si>
  <si>
    <t>8981402650 или 5876150010</t>
  </si>
  <si>
    <t>Воздушный фильтр Исузу Д-макс</t>
  </si>
  <si>
    <t>ISUZU CS 0063 или 1876100640</t>
  </si>
  <si>
    <t>Масляный фильтр Исузу FVR33</t>
  </si>
  <si>
    <t>ISUZU CE 0312 M или 8980924811</t>
  </si>
  <si>
    <t>Топливный фильтр Исузу FVR33</t>
  </si>
  <si>
    <t>8975425400 или 1876100934</t>
  </si>
  <si>
    <t>Воздушный фильтр Исузу FVR33</t>
  </si>
  <si>
    <t>ISUZU CS 1510 или 8970967770</t>
  </si>
  <si>
    <t>Масляный фильтр Исузу HC40</t>
  </si>
  <si>
    <t>ISUZU CS 0064 M или 8971725491</t>
  </si>
  <si>
    <t>Топливный фильтр Исузу HC40</t>
  </si>
  <si>
    <t>8970622940 или 5876100201</t>
  </si>
  <si>
    <t>Воздушный фильтр Исузу HC40</t>
  </si>
  <si>
    <t>Масляный фильтр Исузу HD50</t>
  </si>
  <si>
    <t>Топливный фильтр Исузу HD50</t>
  </si>
  <si>
    <t>Воздушный фильтр Исузу HD50</t>
  </si>
  <si>
    <t>Масляный фильтр Исузу NP26</t>
  </si>
  <si>
    <t>Топливный фильтр Исузу NP26</t>
  </si>
  <si>
    <t>Воздушный фильтр Исузу NP26</t>
  </si>
  <si>
    <t>Масляный фильтр Исузу NP37</t>
  </si>
  <si>
    <t>Топливный фильтр Исузу NP37</t>
  </si>
  <si>
    <t>Воздушный фильтр Исузу NP37</t>
  </si>
  <si>
    <t>Масляный фильтр Исузу NQR71</t>
  </si>
  <si>
    <t>Топливный фильтр Исузу NQR71</t>
  </si>
  <si>
    <t>Воздушный фильтр Исузу NQR71</t>
  </si>
  <si>
    <t>LF16046 или A0001802909</t>
  </si>
  <si>
    <t>Масляный фильтр трактора К-735</t>
  </si>
  <si>
    <t>FS1067 или 1814637DAF</t>
  </si>
  <si>
    <t>Топливный фильтр трактора К-735</t>
  </si>
  <si>
    <t>AF851M</t>
  </si>
  <si>
    <t>Воздушный фильтр трактора К-701, К-703М, К-735</t>
  </si>
  <si>
    <t>702-1012040 или 7405.1012040</t>
  </si>
  <si>
    <t>Масляный фильтр трактора К-703М, 701</t>
  </si>
  <si>
    <t>WIX 95117E или PM 800</t>
  </si>
  <si>
    <t>Топливный фильтр трактора К-703М, 701</t>
  </si>
  <si>
    <t>PU-2440</t>
  </si>
  <si>
    <t>Масляный фильтр ласетти</t>
  </si>
  <si>
    <t>Топливный фильтр ласетти</t>
  </si>
  <si>
    <t>Воздушный фильтр ласетти</t>
  </si>
  <si>
    <t>W914/2</t>
  </si>
  <si>
    <t>Масляный фильтр лада 11173</t>
  </si>
  <si>
    <t>Топливный фильтр лада 11173</t>
  </si>
  <si>
    <t>71-00220-SX</t>
  </si>
  <si>
    <t>Воздушный фильтр лада 11173</t>
  </si>
  <si>
    <t>С-25011</t>
  </si>
  <si>
    <t>Масляный фильтр лада нива</t>
  </si>
  <si>
    <t>Топливный фильтр лада нива</t>
  </si>
  <si>
    <t>2112-1109080</t>
  </si>
  <si>
    <t>Воздушный фильтр лада нива</t>
  </si>
  <si>
    <t>W 1160</t>
  </si>
  <si>
    <t>Масляный фильтр Man CLA 16.220, Man TGM 13.280</t>
  </si>
  <si>
    <t>51.05500-6073</t>
  </si>
  <si>
    <t>Масляный фильтр Man CLA 16.230</t>
  </si>
  <si>
    <t>92093Е</t>
  </si>
  <si>
    <t>Масляный фильтр Man CLA 16.230, Man CLA 18.280</t>
  </si>
  <si>
    <t>DE-8000</t>
  </si>
  <si>
    <t>Топливный фильтр Man CLA 16.220, Man TGM 13.280</t>
  </si>
  <si>
    <t>Топливный фильтр Man CLA 16.230</t>
  </si>
  <si>
    <t>85.12501-0003/51.12503-0109</t>
  </si>
  <si>
    <t>Топливный фильтр Man CLA 16.230, Man CLA 18.280, Man TGS 13.240</t>
  </si>
  <si>
    <t>С 24 508/1</t>
  </si>
  <si>
    <t>Воздушный фильтр Man CLA 16.220</t>
  </si>
  <si>
    <t>Воздушный фильтр Man CLA 16.230</t>
  </si>
  <si>
    <t>81.08405-0022</t>
  </si>
  <si>
    <t>Воздушный фильтр Man CLA 16.230, Man CLA 18.280, Man TGM 13.240, Man TGM 13.280, Man TGS 13.240</t>
  </si>
  <si>
    <t>W 712175</t>
  </si>
  <si>
    <t>Масляный фильтр Man TGM 13.240, Man TGM 13.280</t>
  </si>
  <si>
    <t>P550563</t>
  </si>
  <si>
    <t>Масляный фильтр Man TGM 13.280</t>
  </si>
  <si>
    <t>92093E</t>
  </si>
  <si>
    <t>Масляный фильтр Man TGM 26.400, Man TGS 26.400</t>
  </si>
  <si>
    <t>WIX 33358,PV 1059Х</t>
  </si>
  <si>
    <t>Топливный фильтр Man TGM 13.240, Man TGM 13.280</t>
  </si>
  <si>
    <t>FF5629 (PU1059X)</t>
  </si>
  <si>
    <t>12501-0003/51/12503-0109</t>
  </si>
  <si>
    <t>51.12503-0072</t>
  </si>
  <si>
    <t>Топливный фильтр Man TGM 13.280</t>
  </si>
  <si>
    <t>95100E</t>
  </si>
  <si>
    <t>Топливный фильтр Man TGM 26.400, Man TGS 26.400, Man TGS 33.360</t>
  </si>
  <si>
    <t>LX 1024</t>
  </si>
  <si>
    <t>Воздушный фильтр Man TGM 13.240, Man TGM 13.280</t>
  </si>
  <si>
    <t>Воздушный фильтр Man TGM 13.280</t>
  </si>
  <si>
    <t>Т3148</t>
  </si>
  <si>
    <t>Воздушный фильтр Man TGM 26.400, Man TGS 26.400</t>
  </si>
  <si>
    <t>E422H</t>
  </si>
  <si>
    <t>Масляный фильтр Man TGS 33.360</t>
  </si>
  <si>
    <t>Масляный фильтр Man TGS 13.240</t>
  </si>
  <si>
    <t>A219047</t>
  </si>
  <si>
    <t>R12T</t>
  </si>
  <si>
    <t>Топливный фильтр Man TGS 26.400</t>
  </si>
  <si>
    <t>AF 25896</t>
  </si>
  <si>
    <t>Воздушный фильтр Man TGS 26.400</t>
  </si>
  <si>
    <t>Воздушный фильтр Man TGS 33.360</t>
  </si>
  <si>
    <t>Топливный фильтр эскаватор New holland B90</t>
  </si>
  <si>
    <t>13H19</t>
  </si>
  <si>
    <t>Воздушный фильтр эскаватор New holland B90</t>
  </si>
  <si>
    <t>Масляный фильтр нексия</t>
  </si>
  <si>
    <t>GB-3198</t>
  </si>
  <si>
    <t>Топливный фильтр нексия</t>
  </si>
  <si>
    <t>Воздушный фильтр нексия</t>
  </si>
  <si>
    <t>KRT-OF-1815</t>
  </si>
  <si>
    <t>Масляный фильтр нексия 2</t>
  </si>
  <si>
    <t>Топливный фильтр нексия 2</t>
  </si>
  <si>
    <t>Воздушный фильтр нексия 2</t>
  </si>
  <si>
    <t>MFA 7011</t>
  </si>
  <si>
    <t>Масляный фильтр нексия 3</t>
  </si>
  <si>
    <t>Топливный фильтр нексия 3</t>
  </si>
  <si>
    <t>VF 301</t>
  </si>
  <si>
    <t>Воздушный фильтр нексия 3</t>
  </si>
  <si>
    <t>OA-19133</t>
  </si>
  <si>
    <t>Масляный фильтр бульдозера Т-165-2Е, Т-165-2В</t>
  </si>
  <si>
    <t>600-213-1290</t>
  </si>
  <si>
    <t>Топливный фильтр бульдозера Т-165-2Е, Т-165-2В</t>
  </si>
  <si>
    <t>V-26022</t>
  </si>
  <si>
    <t>Воздушный фильтр бульдозера Т-165-2Е, Т-165-2В</t>
  </si>
  <si>
    <t>JX0818</t>
  </si>
  <si>
    <t>Масляный фильтр бульдозера ТУ-160</t>
  </si>
  <si>
    <t>612600081334/PL-420</t>
  </si>
  <si>
    <t>Топливный фильтр бульдозера ТУ-160</t>
  </si>
  <si>
    <t>Воздушный фильтр бульдозера ТУ-160</t>
  </si>
  <si>
    <t>LF3000</t>
  </si>
  <si>
    <t>Масляный фильтр бульдозера ТУ-230</t>
  </si>
  <si>
    <t>FS1212/PL420</t>
  </si>
  <si>
    <t>Топливный фильтр бульдозера ТУ-230, ТУ-320</t>
  </si>
  <si>
    <t>KW2833</t>
  </si>
  <si>
    <t>Воздушный фильтр бульдозера ТУ-230</t>
  </si>
  <si>
    <t>LF777/LF670</t>
  </si>
  <si>
    <t>Масляный фильтр бульдозера ТУ-320</t>
  </si>
  <si>
    <t>6127-81-7412 SET/EK-3024AB</t>
  </si>
  <si>
    <t>Воздушный фильтр бульдозера ТУ-320</t>
  </si>
  <si>
    <t>P551381</t>
  </si>
  <si>
    <t>Масляный фильтр экскаватор XE150W</t>
  </si>
  <si>
    <t>FS1280</t>
  </si>
  <si>
    <t>Топливный фильтр экскаватор XE150W</t>
  </si>
  <si>
    <t>C16400</t>
  </si>
  <si>
    <t>Воздушный фильтр экскаватор XE150W</t>
  </si>
  <si>
    <t>LF3349</t>
  </si>
  <si>
    <t>Масляный фильтр экскаватор XE210W</t>
  </si>
  <si>
    <t>FF5052/FS1280</t>
  </si>
  <si>
    <t>Топливный фильтр экскаватор XE210W</t>
  </si>
  <si>
    <t>FT84448</t>
  </si>
  <si>
    <t>Воздушный фильтр экскаватор XE210W</t>
  </si>
  <si>
    <t>C5002</t>
  </si>
  <si>
    <t>Масляный фильтр экскаватор XE260С</t>
  </si>
  <si>
    <t>A5410920503</t>
  </si>
  <si>
    <t>Топливный фильтр экскаватор XE260С</t>
  </si>
  <si>
    <t>SA19858</t>
  </si>
  <si>
    <t>Воздушный фильтр экскаватор XE260С</t>
  </si>
  <si>
    <t>SM 102 SCT</t>
  </si>
  <si>
    <t>Масляный фильтр вис пикап</t>
  </si>
  <si>
    <t>Топливный фильтр вис пикап</t>
  </si>
  <si>
    <t>21120-1109080-82</t>
  </si>
  <si>
    <t>Воздушный фильтр вис пикап</t>
  </si>
  <si>
    <t>53-1012040 EKO 202</t>
  </si>
  <si>
    <t>Масляный фильтр Газ 6612</t>
  </si>
  <si>
    <t>ЗМЗ409 GB-107</t>
  </si>
  <si>
    <t>Масляный фильтр Газ 3302</t>
  </si>
  <si>
    <t>EKO-026</t>
  </si>
  <si>
    <t>Масляный фильтр Газ 22171, Газ 3308</t>
  </si>
  <si>
    <t>LX-202 M</t>
  </si>
  <si>
    <t>Масляный фильтр Газ 66</t>
  </si>
  <si>
    <t>ФТ 012 1117010</t>
  </si>
  <si>
    <t>Топливный фильтр Газ 6612</t>
  </si>
  <si>
    <t>GB-335/GB-335PL</t>
  </si>
  <si>
    <t>Топливный фильтр Газ 3302</t>
  </si>
  <si>
    <t>ДФТ 1612</t>
  </si>
  <si>
    <t>Топливный фильтр Газ 3308</t>
  </si>
  <si>
    <t>WK11 10229</t>
  </si>
  <si>
    <t>Топливный фильтр Газ 66</t>
  </si>
  <si>
    <t>40522-1109013</t>
  </si>
  <si>
    <t>Воздушный фильтр Газ 3302</t>
  </si>
  <si>
    <t>Воздушный фильтр Газ 3308</t>
  </si>
  <si>
    <t>6602-1109010</t>
  </si>
  <si>
    <t>Воздушный фильтр Газ 66</t>
  </si>
  <si>
    <t>Масляный фильтр Дамас</t>
  </si>
  <si>
    <t>GB-206</t>
  </si>
  <si>
    <t>Топливный фильтр Дамас</t>
  </si>
  <si>
    <t>Воздушный фильтр Дамас</t>
  </si>
  <si>
    <t>702-1012040/7405-1017040</t>
  </si>
  <si>
    <t>Масляный фильтр Камаз 43118, 4310, 4311, 43114, 4326, 43253, 5306, 5511, 6890, 4208, 5410, 5510, 5306, 6460, 5320, 5321, 53228</t>
  </si>
  <si>
    <t>060-1117040</t>
  </si>
  <si>
    <t>Топливный фильтр Камаз 43118, 4310, 4311, 43114, 4326, 43253, 5306, 5511, 6890, 4208, 5410, 5510, 5306, 6460, 5320, 5321, 53228</t>
  </si>
  <si>
    <t>722.1109560</t>
  </si>
  <si>
    <t>Воздушный фильтр Камаз 43118, 4310, 4311, 43114, 4326, 43253, 5306, 5511, 6890, 4208, 5410, 5510, 5306, 6460, 5320, 5321, 53228</t>
  </si>
  <si>
    <t>Nf-1705</t>
  </si>
  <si>
    <t>Масляный фильтр Маз 5334, 5337, 5336, 5434, 5551</t>
  </si>
  <si>
    <t>840-1117030-01 C</t>
  </si>
  <si>
    <t>Топливный фильтр Маз 5334, 5337, 5336, 5434, 5551</t>
  </si>
  <si>
    <t>236Н-1109080</t>
  </si>
  <si>
    <t>Воздушный фильтр Маз 5334, 5337, 5336, 5434, 5551</t>
  </si>
  <si>
    <t>1012006-00</t>
  </si>
  <si>
    <t>Масляный фильтр УАЗ 390995, патриот, хантер</t>
  </si>
  <si>
    <t>NF2114</t>
  </si>
  <si>
    <t>Топливный фильтр УАЗ 390995, патриот, хантер</t>
  </si>
  <si>
    <t>077-1109080</t>
  </si>
  <si>
    <t>Воздушный фильтр УАЗ 390995, патриот, хантер</t>
  </si>
  <si>
    <t>KF-ФМ.01.0001</t>
  </si>
  <si>
    <t>Масляный фильтр Урал 4320, 3255</t>
  </si>
  <si>
    <t>047-1117010</t>
  </si>
  <si>
    <t>Топливный фильтр Урал 4320, 3255</t>
  </si>
  <si>
    <t>MX100223</t>
  </si>
  <si>
    <t>Воздушный фильтр Урал 4320, 3255</t>
  </si>
  <si>
    <t>020-1012040</t>
  </si>
  <si>
    <t>Масляный фильтр бульдозераЧетра Т-11</t>
  </si>
  <si>
    <t xml:space="preserve"> FT 047.1117010</t>
  </si>
  <si>
    <t>Топливный фильтр бульдозераЧетра Т-11</t>
  </si>
  <si>
    <t>Воздушный фильтр бульдозераЧетра Т-11</t>
  </si>
  <si>
    <t>"ТАСДИҚЛАЙМАН"</t>
  </si>
  <si>
    <t>"Ўзбек геология қидирув" АЖ</t>
  </si>
  <si>
    <t xml:space="preserve">Количество позиций </t>
  </si>
  <si>
    <t>ПТО</t>
  </si>
  <si>
    <t>Итог:</t>
  </si>
  <si>
    <t xml:space="preserve">      Наименование разделов по ПЛАН-ГРАФИКУ государственных закупок АО "Узбекгеологоразведка"на  2024г.</t>
  </si>
  <si>
    <t>комьюторы и принтеры</t>
  </si>
  <si>
    <r>
      <rPr>
        <sz val="11"/>
        <rFont val="Times New Roman"/>
        <family val="1"/>
        <charset val="204"/>
      </rPr>
      <t>½ relief valve/ 16JAN011 - 10
- 17</t>
    </r>
  </si>
  <si>
    <r>
      <t>Микроволновая печь </t>
    </r>
    <r>
      <rPr>
        <sz val="12"/>
        <color rgb="FF333333"/>
        <rFont val="Times New Roman"/>
        <family val="1"/>
        <charset val="204"/>
      </rPr>
      <t>LG MS2335GIS самая верная помощница в кухни. Управляйте приготовлением еды быстрее и проще. Кнопочные и сенсорные переключатели позволяют легко управлять прибором. Ими можно настраивать время, вес, мощность и другие функции. Вы можете готовить блюда наиболее точно. А простой, элегантный дизайн придает микроволновой печи чистый и стильный вид. Система тройного распределения волн равномерно прогревает рабочую камеру, проникая в блюдо со всех сторон. Благодаря этому блюда приготовлены равномерно. Прочное Биотермическое покрытие легко очищается, не царапается и антибактериальная. Подсветка внутреннего пространства делает использование СВЧ-печи удобным. Полезный объем рабочей камеры печи приготовит, разогревает и размораживает пищу. Потребляемая мощность техники достаточна для его функции. Прибор оснащён дисплеем, который позволяет контролировать процесс и оставшееся время до конца приготовления. Блокировка от детей обезопасит от случайного включения. Печь имеет технологию умный инвертор. </t>
    </r>
  </si>
  <si>
    <r>
      <t xml:space="preserve">Холодильник </t>
    </r>
    <r>
      <rPr>
        <sz val="12"/>
        <color rgb="FF333333"/>
        <rFont val="Times New Roman"/>
        <family val="1"/>
        <charset val="204"/>
      </rPr>
      <t xml:space="preserve">Artel HD 316FND Eco </t>
    </r>
    <r>
      <rPr>
        <sz val="12"/>
        <color theme="1"/>
        <rFont val="Times New Roman"/>
        <family val="1"/>
        <charset val="204"/>
      </rPr>
      <t xml:space="preserve">имеет белые детали </t>
    </r>
    <r>
      <rPr>
        <sz val="12"/>
        <color rgb="FF333333"/>
        <rFont val="Times New Roman"/>
        <family val="1"/>
        <charset val="204"/>
      </rPr>
      <t xml:space="preserve">и </t>
    </r>
    <r>
      <rPr>
        <sz val="12"/>
        <color theme="1"/>
        <rFont val="Times New Roman"/>
        <family val="1"/>
        <charset val="204"/>
      </rPr>
      <t>идеально впишется практически во любой интерьер.</t>
    </r>
    <r>
      <rPr>
        <sz val="12"/>
        <color rgb="FF333333"/>
        <rFont val="Times New Roman"/>
        <family val="1"/>
        <charset val="204"/>
      </rPr>
      <t xml:space="preserve"> </t>
    </r>
    <r>
      <rPr>
        <sz val="12"/>
        <color theme="1"/>
        <rFont val="Times New Roman"/>
        <family val="1"/>
        <charset val="204"/>
      </rPr>
      <t xml:space="preserve">Он имеет компактные размеры и вес </t>
    </r>
    <r>
      <rPr>
        <sz val="12"/>
        <color rgb="FF333333"/>
        <rFont val="Times New Roman"/>
        <family val="1"/>
        <charset val="204"/>
      </rPr>
      <t xml:space="preserve">в </t>
    </r>
    <r>
      <rPr>
        <i/>
        <sz val="12"/>
        <color rgb="FF333333"/>
        <rFont val="Times New Roman"/>
        <family val="1"/>
        <charset val="204"/>
      </rPr>
      <t>49</t>
    </r>
    <r>
      <rPr>
        <sz val="12"/>
        <color rgb="FF333333"/>
        <rFont val="Times New Roman"/>
        <family val="1"/>
        <charset val="204"/>
      </rPr>
      <t xml:space="preserve"> </t>
    </r>
    <r>
      <rPr>
        <sz val="12"/>
        <color theme="1"/>
        <rFont val="Times New Roman"/>
        <family val="1"/>
        <charset val="204"/>
      </rPr>
      <t xml:space="preserve">килограммов. Это приспособление может быть использовано </t>
    </r>
    <r>
      <rPr>
        <sz val="12"/>
        <color rgb="FF333333"/>
        <rFont val="Times New Roman"/>
        <family val="1"/>
        <charset val="204"/>
      </rPr>
      <t xml:space="preserve">для хранения продуктов питания </t>
    </r>
    <r>
      <rPr>
        <sz val="12"/>
        <color theme="1"/>
        <rFont val="Times New Roman"/>
        <family val="1"/>
        <charset val="204"/>
      </rPr>
      <t xml:space="preserve">или </t>
    </r>
    <r>
      <rPr>
        <sz val="12"/>
        <color rgb="FF333333"/>
        <rFont val="Times New Roman"/>
        <family val="1"/>
        <charset val="204"/>
      </rPr>
      <t xml:space="preserve">напитков. </t>
    </r>
    <r>
      <rPr>
        <sz val="12"/>
        <color theme="1"/>
        <rFont val="Times New Roman"/>
        <family val="1"/>
        <charset val="204"/>
      </rPr>
      <t xml:space="preserve">Для того чтобы поддержать продукты, которые находятся в холодильнике была сделана полка </t>
    </r>
    <r>
      <rPr>
        <sz val="12"/>
        <color rgb="FF333333"/>
        <rFont val="Times New Roman"/>
        <family val="1"/>
        <charset val="204"/>
      </rPr>
      <t xml:space="preserve">из закаленного </t>
    </r>
    <r>
      <rPr>
        <sz val="12"/>
        <color theme="1"/>
        <rFont val="Times New Roman"/>
        <family val="1"/>
        <charset val="204"/>
      </rPr>
      <t>стекла.</t>
    </r>
    <r>
      <rPr>
        <sz val="12"/>
        <color rgb="FF333333"/>
        <rFont val="Times New Roman"/>
        <family val="1"/>
        <charset val="204"/>
      </rPr>
      <t xml:space="preserve"> Это </t>
    </r>
    <r>
      <rPr>
        <sz val="12"/>
        <color theme="1"/>
        <rFont val="Times New Roman"/>
        <family val="1"/>
        <charset val="204"/>
      </rPr>
      <t xml:space="preserve">даёт возможность гарантировать </t>
    </r>
    <r>
      <rPr>
        <sz val="12"/>
        <color rgb="FF333333"/>
        <rFont val="Times New Roman"/>
        <family val="1"/>
        <charset val="204"/>
      </rPr>
      <t xml:space="preserve">долгий срок </t>
    </r>
    <r>
      <rPr>
        <sz val="12"/>
        <color theme="1"/>
        <rFont val="Times New Roman"/>
        <family val="1"/>
        <charset val="204"/>
      </rPr>
      <t xml:space="preserve">эксплуатации </t>
    </r>
    <r>
      <rPr>
        <sz val="12"/>
        <color rgb="FF333333"/>
        <rFont val="Times New Roman"/>
        <family val="1"/>
        <charset val="204"/>
      </rPr>
      <t xml:space="preserve">полок, а также </t>
    </r>
    <r>
      <rPr>
        <sz val="12"/>
        <color theme="1"/>
        <rFont val="Times New Roman"/>
        <family val="1"/>
        <charset val="204"/>
      </rPr>
      <t xml:space="preserve">лёгкость </t>
    </r>
    <r>
      <rPr>
        <sz val="12"/>
        <color rgb="FF333333"/>
        <rFont val="Times New Roman"/>
        <family val="1"/>
        <charset val="204"/>
      </rPr>
      <t>в уходе за ними. </t>
    </r>
  </si>
  <si>
    <r>
      <t>Предназначены для дополнительной защиты от электрического тока при работе на закрытых и, при отсутствии осадков, на открытых электроустановках при напряжении 20 Кв и при температуре от -30 до +50 </t>
    </r>
    <r>
      <rPr>
        <vertAlign val="superscript"/>
        <sz val="12"/>
        <rFont val="Times New Roman"/>
        <family val="1"/>
        <charset val="204"/>
      </rPr>
      <t>0</t>
    </r>
    <r>
      <rPr>
        <sz val="12"/>
        <rFont val="Times New Roman"/>
        <family val="1"/>
        <charset val="204"/>
      </rPr>
      <t>С.</t>
    </r>
  </si>
  <si>
    <r>
      <t>Частотный преобразователь</t>
    </r>
    <r>
      <rPr>
        <b/>
        <sz val="12"/>
        <rFont val="Times New Roman"/>
        <family val="1"/>
        <charset val="204"/>
      </rPr>
      <t xml:space="preserve"> DELIXI 220 V 2,2- кВт</t>
    </r>
    <r>
      <rPr>
        <sz val="12"/>
        <rFont val="Times New Roman"/>
        <family val="1"/>
        <charset val="204"/>
      </rPr>
      <t xml:space="preserve"> CDI-EМ60G2R2S2B Частотные преобразователи Delixi; Характеристики Подключаемый электродвигатель:2,2 кВт Номинальное выходное напряжение:220 V AC. Номинальное входное напряжение однофазное: 220 V</t>
    </r>
  </si>
  <si>
    <r>
      <t>Частотный преобразователь</t>
    </r>
    <r>
      <rPr>
        <b/>
        <sz val="12"/>
        <rFont val="Times New Roman"/>
        <family val="1"/>
        <charset val="204"/>
      </rPr>
      <t xml:space="preserve"> DELIXI 380 V 5,5- кВт</t>
    </r>
    <r>
      <rPr>
        <sz val="12"/>
        <rFont val="Times New Roman"/>
        <family val="1"/>
        <charset val="204"/>
      </rPr>
      <t xml:space="preserve"> CDI-EM60G5R5T4  Частотные преобразователи Delixi; Характеристики Подключаемый электродвигатель:5,5 кВт Номинальное выходное напряжение 3 фазы:380 V AC. Номинальное входное напряжение трехфазное: 380 V</t>
    </r>
  </si>
  <si>
    <r>
      <t> АИР112М2 – трехфазный асинхронный электродвигатель</t>
    </r>
    <r>
      <rPr>
        <b/>
        <sz val="12"/>
        <rFont val="Times New Roman"/>
        <family val="1"/>
        <charset val="204"/>
      </rPr>
      <t xml:space="preserve"> 5,5 кВт 3000 об/мин </t>
    </r>
    <r>
      <rPr>
        <sz val="12"/>
        <rFont val="Times New Roman"/>
        <family val="1"/>
        <charset val="204"/>
      </rPr>
      <t>общепромышленного назначения с короткозамкнутым ротором. Мощность 5,5 кВт Частота вращения поля статора 3000 об/мин Скорость вращения вала 2895 оборотов Тип Асинхронный Напряжение питания Трехфазное, 220/380, 380/660 вольт Монтажное исполнение -комбинированное;</t>
    </r>
  </si>
  <si>
    <r>
      <t>Лист железный (стальной)  5 - 15 мм для изготолкние разных щек 10</t>
    </r>
    <r>
      <rPr>
        <vertAlign val="superscript"/>
        <sz val="12"/>
        <rFont val="Times New Roman"/>
        <family val="1"/>
        <charset val="204"/>
      </rPr>
      <t>2</t>
    </r>
  </si>
  <si>
    <r>
      <t>Положено на работниками  горно-буро</t>
    </r>
    <r>
      <rPr>
        <sz val="10"/>
        <rFont val="Times New Roman"/>
        <family val="1"/>
        <charset val="204"/>
      </rPr>
      <t>вых участок</t>
    </r>
  </si>
  <si>
    <t>Диэлектрические перчатки резиновые используются в качестве основного средства защиты от поражения высоким напряжением до и вышее 1 кВ. Выполнены из листовой резины методом штанцевания, по этому они могут ещё называться диэлектрические перчатки штанцованные. По отношению к бесшовным перчаткам, они более тонкие и более удобные для работы с мелкими деталями и инструментами.  ЭВ-350 мм, ТУ-38305-05-257-89, Артикул- П-0213082</t>
  </si>
  <si>
    <t>Диэлектрический резиновый коврик МЕРИОН, 500х500х6 мм, черный, КОВ404 предназначен для защиты от возможного поражения электрическим током.   Толщина: 6±1 мм; Защитные свойства: Эн, Эв; Температурный режим эксплуатации: от -15 до +40 0С; Нормативно-техническая документация: ГОСТ 4997-75 Размер 500*500*5</t>
  </si>
  <si>
    <t>Диэлектрический резиновый коврик МЕРИОН, 750х750х6 мм, черный, КОВ404 предназначен для защиты от возможного поражения электрическим током.  Толщина: 6±1 мм; Защитные свойства: Эн, Эв; Температурный режим эксплуатации: от -15 до +40 0С; Нормативно-техническая документация: ГОСТ 4997-75 Размер 750*750*6</t>
  </si>
  <si>
    <t>Марка ПМ-Н.  Технические характеристики Наименование параметра Обозначение Величина обхвата талии, обеспечиваемая ремнем, мм 840-1500 Масса, кг, не более 0,6 Статическая разрывная нагрузка, Н (кгс), не менее 15000 (1500</t>
  </si>
  <si>
    <t>Переносное заземление ЗПЛ-10 КВ; Артикул-П-0101131, Масса 2 кг;Номинальное напряжение 0,4-1 0 кВ; Общая длина 350 мм; Сечение 1 6 мм</t>
  </si>
  <si>
    <t>Трансформатор тока ТТИ-А 200/5А 5ВА 0,5; IEKТУ-3414-001-18461115-2006, ТТИ-А-200/5 5БА класс 0,5 ИАК P-0362049 Артикул: ITT10-2-05-0200. Напряжение 380-400В</t>
  </si>
  <si>
    <t xml:space="preserve">Трансформатор тока ТТИ- 400/5 класс точности 0,5S ТТИ-40 (без шины) 5 ВА артикул (ITT30-3-05-0400) IEK  Напряжение 380-400В </t>
  </si>
  <si>
    <t xml:space="preserve">Трансформатор тока ТТИ-А 150/5 5ВА, класс точности 0.5 ИЭК Артикул: P-0478579. Напряжение 380-400В </t>
  </si>
  <si>
    <t>Трансформаторы напряжения НТМИ-6 кВ ТУ 659ПК0001 0033-22 Гост 1983-2001; 495х396мм, 67 кг, 50 Гц, 6-10 кВ</t>
  </si>
  <si>
    <t>Трансформатор ОСО-36В, 800Вт; Трансформатор напряжения ОСО-0,25 220/36в ЭЛТИ мощностью 0,063-4,0кВ А; напряжением первичной обмотки от 220 до 660В, вторичных обмоток от 12 до 260В; предназначены для питания цепей управления, местного освещения, сигнализации и автоматики. Трансформаторы соответствуют требованиям ГОСТ 19294-84</t>
  </si>
  <si>
    <t>Технические характеристики Трансформатора ТСЗИ-2.5-380-220\36;Ширина 0.216 м. Высота 0.286 м. Глубина 0.299 м; Вес 31.52 кг. Номинальная мощность 2500 В. Степень защиты IP IP20.Вторичное напряжение 1 с 36 В.Напряжение -380 В</t>
  </si>
  <si>
    <t>Частотный преобразователь DELIXI 220 V 2,2- кВт CDI-EМ60G2R2S2B Частотные преобразователи Delixi; Характеристики Подключаемый электродвигатель:2,2 кВт Номинальное выходное напряжение 3 фазы:220 V AC. Номинальное входное напряжение однофазное: 220 V</t>
  </si>
  <si>
    <t>Danfoss 132F0028 Частотный преобразователь VLT Micro Drive FC 51 5,5 кВт (380В, 3 ф) Данная модель частотного преобразователя Danfoss VLT Micro Drive FC 51 5.5 кВт 132F0028 представляется в виде трехфазного исполнения. Основная функция Danfoss VLT Micro Drive FC 51 132F0028 состоит в том, чтобы регулировать исходящую частоту тока на трехфазном электродвигателе номинальной мощностью 5.5 кВт. Данное действие также позволяет регулировать скорость вращения самого двигателя.Типовой код: FC-051P5K5T4E20H3BXCXXXSXXX</t>
  </si>
  <si>
    <t>Частотный преобразователь DELIXI 380 V 55- кВт CDI-E180G055/P075T4Частотные преобразователи Delixi; Характеристики Подключаемый электродвигатель:55 кВт Номинальное выходное напряжение 3 фазы:380 V AC. Номинальное входное напряжение трехфазное: 380 V</t>
  </si>
  <si>
    <t>Преобразователя частоты Bosch Rexroth VFC5610 R912007196; Производитель Bosch Rexroth Номинальная мощность 110 кВт Входная фазность 3-ф / 380 В Выходная фазность 3-ф / 380 В Mmax (1 min) 150% Номинальный ток 253 А Выходная максимальная частота 400 Гц Степень защиты 21 IP EMC фильтр Опция Скалярный режим управления Есть Векторный режим управления без энкодера Есть Векторный режим управления с энкодером Нет Масса 76 кг.</t>
  </si>
  <si>
    <t>Danfoss VLT AQUA Drive FC-202 134F0371 - 160 кВт; 3 x 380В Номинальное напряжени 3х380/400V Перегрузочная способность: 150% в течение 60 сек. (до 90 кВт) Высокая надежность и низкое энергопотребление (технология IGBT) Выходная частота: 0.1 - 120 Гц. Автоматическая регулировка напряжения  15 предустановленных частот</t>
  </si>
  <si>
    <t xml:space="preserve">Danfoss FC-302N90KT5 – частотный преобразователь серии VLT AutomationDrive FC 300.  Используется для управления скоростью вращения электродвигателей общепромышленного назначения, насосов, вентиляторов, лифтов, кранов. Изменение выходного сигнала осуществляется с помощью ПИД-регулятора.  Электрические характеристики Мощность, кВт:90  Напряжение питания, В: 380-500 Номинальный ток, А: 177 Выходная частота, Гц:0-590 
</t>
  </si>
  <si>
    <t xml:space="preserve">Danfoss 132F0028 Частотный преобразователь VLT Micro Drive FC 51 7,5 кВт (380В, 3 ф) Данная модель частотного преобразователя представляется в виде трехфазного исполнения. Основная функция Danfoss VLT Micro Drive FC 51 132F0028 </t>
  </si>
  <si>
    <t>Danfoss 132F0028 Частотный преобразователь VLT Micro Drive FC 51 11 кВт (380В, 3 ф) Данная модель частотного преобразователя представляется в виде трехфазного исполнения. Основная функция Danfoss VLT Micro Drive FC 51 132F0029</t>
  </si>
  <si>
    <t xml:space="preserve">Выключатель автоматический ВА57-39-340010-800А-5000-690AC-УХЛ3-КЭАЗ  3 фаза ли 50 герц, ГОСТ-50031-2012$  ТУ 3422-094-15356352-2007 </t>
  </si>
  <si>
    <t>Выключатель автоматический ВА57-39-340010-630А-5000-690AC-УХЛ3-КЭАЗ 400 V  Ih=400 A 3 фаза, ГОСТ-50031-2012$ TУ 3422-094-15356352-2007, 140x260x109</t>
  </si>
  <si>
    <t>Автомат выключатель CHINT NM8S-400S 3P 400A 70кА с электронным расцепителем Выключатели NM8 представляют собой компактные устройства. У них литой корпус, который не поддерживает горение. Сами автоматы не взрывоопасны. Это позволяет спокойно задействовать их на многолюдных объектах.</t>
  </si>
  <si>
    <t>Автоматический выключатель ВА51-35 на номинальный ток 250А. Блочный трехполюсный автоматический выключатель ВА51-35 предназначен для проведения тока в номинальном режиме, отключения тока при коротких замыканиях и перегрузках, а также нечастых оперативных включений и отключений электрических цепей напряжением до 660 В переменного тока и 220 В постоянного тока.</t>
  </si>
  <si>
    <t>Количество РП, ЯРП, АРВ, ВР и других распред. устройств составляет; на буровых 40 шт, Шахта, Штольня - 40 шт, а также объекты, цеха, и участки около 160 единиц.  Общее количество  240 ед щитов.   На каждом из щитов установлены автоматические выключатели минимум 3-4шт. (670 шт АВ). За время эксплуатации некоторые АВ выходят из строя. Имеется около  единиц 120 некоректно работающих АВ которые необходимо заменить. Остальное количество АВ затребован для замена  неисправных во избежание простоев.</t>
  </si>
  <si>
    <t xml:space="preserve">Автомат выключатель KEAZ ВА57Ф35-340010-160A 400 V  Ih=160 A 3 фаза, ГОСТ-50031-2012; TУ 3422-094-15356352-2007 105x160x86 </t>
  </si>
  <si>
    <t>Выключатель автоматический ВА57-35-340010-100А-1000-690AC-УХЛ3-КЭАЗ 400 V  Ih=100 A 3 фаза, ГОСТ-50031-2012; TУ 3422-094-15356352-2007 90x140x96</t>
  </si>
  <si>
    <t xml:space="preserve">Автомат выключатель  ВА 57-35 на 63А автомат трёхполюсный КЭАЗ Номинальный ток In, А63 Уставка мгновенного срабатывания, А63; Одноразовый ток КЗ (Icu при U=380В), кА 20 Одноразовый ток КЗ (Icu при U=660В), кА 12Число полюсов, шт.3Расцепитель электромагнитный + тепловойПриводручной400 V  Ih=63 A 3 фаз, ГОСТ-50031-2012; </t>
  </si>
  <si>
    <t>Выключатель автоматический ВА47-100 3Р 50А 10кА С IEK; Автоматические выключатели ВА47-100 предназначены для защиты распределительных и групповых цепей, имеющих активную и индуктивную нагрузки. Артикул: MVA40-3-050-C Масса 0,92 кг.</t>
  </si>
  <si>
    <t>Контактор КТИ-5150 150А 220В Артикул:20316 КТИ предназначены для использования в схемах управления для пуска и остановки трехфазных асинхронных электродвигателей с короткозамкнутым ротором в электрических сетях с номинальным напряжением до 660 В переменного тока</t>
  </si>
  <si>
    <t xml:space="preserve"> Контактор КТИ-5150 100А 220В.Артикул:20316 КТИ предназначены для использования в схемах управления для пуска и остановки трехфазных асинхронных электродвигателей с короткозамкнутым ротором в электрических сетях с номинальным напряжением до 660 В переменного тока</t>
  </si>
  <si>
    <t xml:space="preserve"> Контактор КТИ-5150 115А 220В.Артикул:20316 КТИ предназначены для использования в схемах управления для пуска и остановки трехфазных асинхронных электродвигателей с короткозамкнутым ротором в электрических сетях с номинальным напряжением до 660 В переменного тока</t>
  </si>
  <si>
    <t>Магнитный контактор HGC225 22NS F220 225А 132 квт при АС3 (380-440В) напряжение катушки 100-240В АC 110-220 DC 2НО+2НЗ Тип изделия:Контактор; Номинальный ток,А:225 Напряжение катушки управления, В: 220Род тока катушки управления:; Напряжение, В:1000Род тока:; Переменный (AC)</t>
  </si>
  <si>
    <t>Магнитный контактор HGC225 22NS F220 100А 132 квт при АС3 (380-440В) напряжение катушки 100-240В АC 110-220 DC 2НО+2НЗ Тип изделия: Контактор; Номинальный ток,А:100 Напряжение катушки управления, В: 220Род тока катушки управления; Напряжение, В:1000Род тока: Переменный (AC)</t>
  </si>
  <si>
    <t>Контактор КТ-6033 250А, V=380-400 AC 220 В катушка; Артикул Р- 112930 TU3420-091-05758109-2016, Гост 2491-82</t>
  </si>
  <si>
    <t>Контактор КТ-6023Б-160А-380AC-У3-КЭАЗ Артикул: P-0478579 катушка 380 В</t>
  </si>
  <si>
    <t>Контактор КТ-5043Б 400А 380В (аналог КТ-6043) Электротехник ET018920 Характеристика Ширина0.35 м.Высота0.31 м.Глубина0.55 м.Вес32.5 кг.; Род тока включения; Переменный ток (AC) Номинальное напряжение питания цепи управления Us перемен. тока АС при 50 Гц с660 В; Номинальный ток Ie при AC-3, 400 В400 А; Количество вспомогательных замыкающих контактов3</t>
  </si>
  <si>
    <t>Пускатель ПМЛ 6100 160А Ih=160 A, V=380-400 AC 220 болт катушка; Артикул Р- 112930 TU3420-091-05758109-2016, Гост 2491-82</t>
  </si>
  <si>
    <t>Metasol MC-330a 400В AC 50/60Гц 2a2b Screw LS Electric 1370000400 U=380,440V AC, 50/60 герц, Aартикул-1370000400, 163x243x204,4 Гост 2491-82</t>
  </si>
  <si>
    <t>Пускатель магнитный ПМЛ 5160 -100 A ДМ 3-полюсный [3NO], 50кВт, 100А[AC3], в.к.1NO+1NC, эл-магнит. катушка 220В(AC) 50Гц, зажимы для каб. наконеч./шин, на DIN/ монтаж. панель, IP20 УХЛ4Artikul 112930 TU3420-091-05758109-2016 Гост 2491-82</t>
  </si>
  <si>
    <t>ПМА-4100 УХЛ4 В, 380В, 2з+2р, 63А, нереверсивный, без реле, IP00 (ЭТ) Катушка - 220В 50Ҳз; Номинал ток - 63А Уровень зашиты - ИР01</t>
  </si>
  <si>
    <t>ПМА-4100 УХЛ4 В, 380В, 2з+2р, 25А, нереверсивный, без реле, IP00 (ЭТ) Катушка - 220В 50Ҳз; Номинал ток - 63А Уровень зашиты - ИР02</t>
  </si>
  <si>
    <t>Выключатель ВРН-250А  Рудничный выключатель типа ВРН предназначен для работы в трехфазных сетях переменного тока с изолированной нейтралью в рудниках и шахтах предприятий горнорудной промышленности не опасных по взрыву газа и пыли.</t>
  </si>
  <si>
    <t>Выключатель ВРН 100 РН1 УХЛ5 предназначены для работы в трехфазных сетях переменного тока с изолированной нейтралью в рудниках и шахтах предприятий горнорудной промышленности, не опасных по взрыву газа или рудной пыли. Толщина корпуса 2 мм.</t>
  </si>
  <si>
    <t>Автоматические фидерные взрывобезопасные выключатели серии АФВ-3. предназначены для автоматического размыкания цепи переменного тока при коротких замыканиях, значительных перегрузках с помощью максимально-токовых расцепителей и защиты кабельных сетей от замыкания на землю с помощью независимого расцепителя. Ном ток- 500 А; Ном напряжение - 380-660В; Частота 50-60Гц. Масса -245кг</t>
  </si>
  <si>
    <t>Мегомметр ЭС0202/2-Г (ЭС0202/2Г) предназначены для измерения сопротивления изоляции электрических цепей, не находящихся под напряжением. Питание мегомметра ЭС0202/2-Г (ЭС0202/2Г) осуществляется от встроенного электромеханического генератора.мегомметры ЭС0202/2-Г (ЭС0202/2Г) соответствуют требованиям ГОСТ 26104-89 “Средства измерений электронные.</t>
  </si>
  <si>
    <t>Когти ЖБ. Лазы КРПО предназначены для подъема на железобетонные опоры прямоугольной формы с сечением 140х240мм и 180х300мм. Раствор лаза 160/203 мм. Шипы со вставкой из твердого сплава. Лазы КРПО поставляются в комплекте с кожаными ремнями. Технические характеристики лаз КРПО:  мин/макс:160/203 мм Масса когтей с ремнями: не более 4,5 кг</t>
  </si>
  <si>
    <t xml:space="preserve">Амперметр М381, щитовой прибор магнитоэлектрической системы, предназначенный для измерения тока и напряжения в цепи постоянного тока. Класс точности - 1,5. Габаритные размеры - 120×120×60мм.Амперметр М381 500-0-500А </t>
  </si>
  <si>
    <t xml:space="preserve">Вольтметр М381 - щитовой прибор магнитоэлектрической системы, предназначенный для измерения тока и напряжения в цепи постоянного тока. Класс точности - 1,5. Габаритные размеры - 120×120×60мм.Амперметр М381 500-0-500А </t>
  </si>
  <si>
    <t>Имеется счётчиков в экспедициях кол-во 57 ед. из них   Для резерва необходимо 19-ед в целях оперативнной  замены.  При открытии новых объектов будут установлены счетчики (договорные работы и др.) Примечание: Данные счётчики часто выходят из строя и требуется оперативная замена.</t>
  </si>
  <si>
    <t>Светильник COBRA LED COB LE042B 150W 6000K1;Уличные светильники РКУ (LED) Предназначение: Освещение улиц, автостоянок, площадей и других открытых общественных мест.</t>
  </si>
  <si>
    <t>Светильник RKU COBRA LED COB LE042B 100W 6000K1;Уличные светильники РКУ (LED) Предназначение: Освещение улиц, автостоянок, площадей и других открытых общественных мест.</t>
  </si>
  <si>
    <t>Светильник RKU COBRA LED COB LE042B 50 W 6000K1;Уличные светильники РКУ (LED) Предназначение: Освещение улиц, автостоянок, площадей и других открытых общественных мест.</t>
  </si>
  <si>
    <t>Солнечный прожектор Solar RKU2 150W. Не требует электротока и не требует монтажа электропроводки.Позволяет экономить электроэнергию, не потребляя электричество из сети.Резервное питание до 8 часов</t>
  </si>
  <si>
    <t xml:space="preserve">AK-FLD 100W "AKFA LIGHTING" Характеристики: Мощность: 100В;Цветовая температура: 6500 K Напряжение: 120-250 V Степень защиты: IP 65 Частота: 50-60 Hz Световой поток: 9000-10500 Lm Эффективность: 60-70 Lm/W </t>
  </si>
  <si>
    <t xml:space="preserve">AK-FLD 50W "AKFA LIGHTING" Характеристики: Мощность: 50В.Цветовая температура: 6500 K; Напряжение: 120-250 V; Степень защиты: IP 65 Частота: 50-60 Hz Световой поток: 9000-10500 Lm Эффективность: 60-70 Lm/W </t>
  </si>
  <si>
    <t>Наконечник кабельный медный ТМ 75-12 Предназначены для оконцевания опрессовкой медных кабелей и проводов Материал: электротехническая медь; Покрытие: без покрытия Рабочее напряжение: до 35 кВ</t>
  </si>
  <si>
    <t>Наконечник кабельный медный ТМ 50-12 Предназначены для оконцевания опрессовкой медных кабелей и проводов Материал: электротехническая медь; Покрытие: без покрытия Рабочее напряжение: до 35 кВ</t>
  </si>
  <si>
    <t>Наконечник кабельный медный ТМ 35 Предназначены для оконцевания опрессовкой медных кабелей и проводов Материал: электротехническая медь; Покрытие: без покрытия Рабочее напряжение: до 35 кВ</t>
  </si>
  <si>
    <t xml:space="preserve">Наконечник кабельный медный ТМ 25 Предназначены для оконцевания опрессовкой медных кабелей и проводов Материал: электротехническая медь;Покрытие: без покрытия Рабочее напряжение: до 35 кВ ТМ 150-12-19 ГОСТ 7386 </t>
  </si>
  <si>
    <t>Наконечник алюминиевый ТА 25мм.кв. хМ8 (Ш=18мм) КВТ Предназначены для оконцевания опрессовкой алюминиевых кабелей и проводов; Материал: алюминий марки АД1; Рабочее напряжение: до 35 кВ; При подключении к медным шинам рекомендовано использование алюмомедных шайб ШАМ</t>
  </si>
  <si>
    <t>Наконечник алюминиевый ТА 35 мм.кв. хМ8 (Ш=18мм) КВТ Предназначены для оконцевания опрессовкой алюминиевых кабелей и проводов; Материал: алюминий марки АД1; Рабочее напряжение: до 35 кВ; При подключении к медным шинам рекомендовано использование алюмомедных шайб ШАМ</t>
  </si>
  <si>
    <t>Силовой гибкий кабель - 3 х 95 мм2 + 1 х 35 мм2, с медной жилой, изоляцией и оболочкой из резины. Номинальное переменное напряжение 0,66 кВ; Количество жил 3 + 1 дополнительная жила; Сечение размер 95 + 35 мм2</t>
  </si>
  <si>
    <t>Силовой гибкий кабель - 3 х 35 мм2 + 1 х 16 мм2, с медной жилой, изоляцией и оболочкой из резины. Номинальное переменное напряжение 0,66 кВ; Количество жил 3 + 1 дополнительная жила; Сечение размер 35 + 16 мм2</t>
  </si>
  <si>
    <t>Силовой гибкий кабель - 3 х 50 мм2 + 1 х 25 мм2, с медной жилой, изоляцией и оболочкой из резины. Номинальное переменное напряжение 0,66 кВ; Количество жил 3 + 1 дополнительная жила; Сечение размер 50 + 25 мм2</t>
  </si>
  <si>
    <t>Силовой гибкий кабель - 3 х 25 мм2 + 1 х 10 мм2, с медной жилой, изоляцией и оболочкой из резины. Номинальное переменное напряжение 0,66 кВ;  Количество жил 3 + 1 дополнительная жила; Сечение размер 25 + 10 мм2</t>
  </si>
  <si>
    <t>Силовой кабель - 3 х 35 мм2 + 1 х 16 мм2, с алюминиевой жилой, изоляцией и оболочкой из ПВХ. Номинальное переменное напряжение 0,66/1 кВ;  Количество жил 3 + 1 дополнительная жила.Сечение размер 35 + 16 мм2</t>
  </si>
  <si>
    <t>Силовой гибкий кабель - 3 х 70 мм2 + 1 х 25 мм2, с медной жилой, изоляцией и оболочкой из резины. Номинальное переменное напряжение 0,66 кВ;  Количество жил 3 + 1 дополнительная жила.Сечение размер 70 + 25 мм2</t>
  </si>
  <si>
    <t xml:space="preserve">Кабель гибкий КГ 1х10 предназначен для присоединения передвижных механизмов к электрическим сетям на номинальное переменное напряжение 380 В частоты до 400 Гц или постоянное номинальное напряжение 660 В. Технические характеристики.  Сечение жил, mm²: 10.  Количество жил: 1.  Материал жил: Медь.  Тип жилы: Многожильный.     Изоляция кабеля (провода): Резиновая.    Назначение: Кабели КГ могут использоваться в заземляющих устройствах, а также для осуществления различных видов электротехнических работ.    </t>
  </si>
  <si>
    <t>Силовой бронированный лентами кабель - 3 х 70 мм2 + 1 х 35 мм2, с алюминиевой жилой, изоляцией и защитным шлангом из ПВХ. Номинальное переменное напряжение 0,66/1 кВ; Количество жил 3 + 1 дополнительная жила; Сечение размер 70 + 35 мм2</t>
  </si>
  <si>
    <t>Провод марки АС 35/6,2 — это неизолированный сталеалюминиевый провод, сердечник которого выполнен из одной стальной проволоки, а остальная часть — из одного повива алюминиевых проволок. В изготовлении используются нержавеющая сталь и алюминий. Основным и единственным предназначением провода АС 35/6,2 является подвес на воздушных линиях электропередачи. Площадь поперечного сечения алюминиевой части провода составляет 35 мм2, площадь стальной части — 6,2 мм2.   Вес проводов 148 кг на 1 км 5000/148 = 33,7 (34км)</t>
  </si>
  <si>
    <t>Провод алюминиевый А 35 состоит из алюминиевых проволок, Провод неизолированный марки А предназначен для передачи электрической энергии в воздушных электрических сетях, в атмосфере воздуха типов I и II при условии содержания в атмосфере сернистого газа не более 150 мг/м2 сут (1.5 мг/м3) на суше всех макроклиматических районов по ГОСТ 15150 исполнения УХЛ, кроме ТВ и ТС. Вес проводов 94 кг на 1 км 2500/94= 26,5 (26 км)</t>
  </si>
  <si>
    <t>Провод алюминиевый А 25 состоит из алюминиевых проволок, Провод неизолированный марки А предназначен для передачи электрической энергии в воздушных электрических сетях, в атмосфере воздуха типов I и II при условии содержания в атмосфере сернистого газа не более 150 мг/м2 сут (1.5 мг/м3) на суше всех макроклиматических районов по ГОСТ 15150 исполнения УХЛ, кроме ТВ и ТС. ТУ У 27.3-23075526-024:2019 Вес проводов 68 кг на 1 км 3000/68=44,1 (44 км)</t>
  </si>
  <si>
    <t>Крюки КН-22 служат для крепления изоляторов ШФ-10, ШФ-20, ШС-10 к деревянным опорам. Для фиксации изолятора на крюке следует применять колпачок КП-22. Напряжение – 6-20 кВ;  Масса – 1.7 кг.; Материал – сталь, Антикоррозионное покрытие – грунт ГФ-021; Упаковка – в мешках по 20 шт.</t>
  </si>
  <si>
    <t>Технические данные ИПУ 10. напряжения в 10 кВ; Крепление изолятора фланцевое. Фланец соединен с фарфоровой основой с помощью цементно-песчаного состава. Токоведущая шина крепится в металлических центрирующих шайбах или в металлических колпаках</t>
  </si>
  <si>
    <t>Траверса ТМ-1 устанавливается на стойке СВ105 и предназначена для одинарного крепления неизолированного провода при установке промежуточной опоры П10-1 воздушной линии электропередач 10кВ в населенной местности. На траверсе имеются штыри под изоляторы ШФ-10, ШС-10, ШФ-20. Крепление изоляторов на штырях рекомендуется выполнять с помощью колпачков К-6, К-7, К-9.;  Крепление провода к изолятору осуществляется с помощью проволочной вязки ВШ-1 или спиральной вязки ПВС.; Хомут Х-1 для крепления траверсы к стойке поставляется отдельно.</t>
  </si>
  <si>
    <t>Хомут для СВ-110 (Артикул: P-0442414) Металлоконструкции 0,4 кВ; 6-10 кВ. Хомут Х-42 , Х-51 для СВ-110; Хомуты изготавливаются в виде скобы, имеющей резьбу с гайками на концах. Для производства хомутов используется качественная сталь.</t>
  </si>
  <si>
    <t>СВ 110-5 линий электропередач эксплуатируются в каждом городе и селе, что говорит об их доступности и качестве. Анкерно-угловые и другие типы ж/б стоек вирированный СВ 110-5 необходимы для проводного вещания и опоры нескольких проводов. Размеры стоек CВ 110 - 5. длина – 11 метров; ширина в верхней части стойки – 175 мм, в основании – 170 мм; высота в верхней части изделия - 165 мм, в основании – 280 мм.</t>
  </si>
  <si>
    <t> АИР132S4 – трехфазный асинхронный электродвигатель 7,5 кВт 750 об/мин общепромышленного назначения с короткозамкнутым ротором. Частота вращения поля статора 750 об/мин Скорость вращения вала 750 оборотов Тип Асинхронный Напряжение питания Трехфазное, 220/380, 380/660 вольт Монтажное исполнение Лапы/фланец/комбинированное Номинальный ток 15,6 А КПД 87,0 %</t>
  </si>
  <si>
    <t> АИР112М2 – трехфазный асинхронный электродвигатель 7,5 кВт 3000 об/мин общепромышленного назначения с короткозамкнутым ротором. Мощность 7,5 кВт Частота вращения поля статора 3000 об/мин Скорость вращения вала 2895 оборотов Тип Асинхронный Напряжение питания Трехфазное, 220/380, 380/660 вольт Монтажное исполнение -комбинированное;</t>
  </si>
  <si>
    <t xml:space="preserve">Консольный насосы К 80-50-250  предназначены для перекачивания воды Подача 50 м3/час Напор 80 м.в.ст  Размеры1100х400х430 Масса250 кг Вход 80 Выход 50 Мощность 22 x 3000 кВт x об/мин </t>
  </si>
  <si>
    <t>Насос погружной скважинный UNIPUMP ЭЦВ 5-20-60; Насос Unipump ЭЦВ 5-20-60 24138 предназначен для перекачивания неагрессивной, чистой без абразивных частиц жидкости. Используется для подачи воды в бытовых условиях. Высота подъема-95 м; Глубина погружения- 70м; Мощность 5500Вт; Производительность-500 л/мин; Трубное соединение внутренняя G3 дюйм; Диаметр насоса 131,2 мм; Длина кабеля 2 м; Тип -скважинный; Вид-погружной; Защита от сухого хода- нет; Мах температура жидкости 35 °С; Min уровень воды 3000 мм; Соединитель в комплекте- нет; Материал крыльчатки-полимер.Для повышения давления-нет; Частота - 50Гц; Вес нетто-49,5 кг.</t>
  </si>
  <si>
    <t xml:space="preserve">Калорифер 15квт 380в Ремонт и строительство на сегодняшний день становятся очень популярными, но для качественного выполнения работы необходимо иметь не менее качественные инструменты и приборы. Наша компания предлагает широкий ассортимент строительных инструментов и аппаратов по приятным ценам. </t>
  </si>
  <si>
    <t>Задвижка чугунная 30ч39р Ду-80 мм Ру-16 Выполняют функцию запирающих устройств, позволяют перекрывать либо освобождать поток жидкой и воздушной сред. Изделия применяются в трубопроводных комплексах по переводу пара, нефтепродуктов, воды и т.д.</t>
  </si>
  <si>
    <t>Задвижка чугунная 30ч39р Ду-150 мм Ру-16 Выполняют функцию запирающих устройств, позволяют перекрывать либо освобождать поток жидкой и воздушной сред. Изделия применяются в трубопроводных комплексах по переводу пара, нефтепродуктов, воды и т.д.</t>
  </si>
  <si>
    <t>Задвижка чугунная 30ч39р Ду-100 мм Ру-16 Выполняют функцию запирающих устройств, позволяют перекрывать либо освобождать поток жидкой и воздушной сред. Изделия применяются в трубопроводных комплексах по переводу пара, нефтепродуктов, воды и т.д.</t>
  </si>
  <si>
    <t xml:space="preserve">Вентиль чугунный  15ч9п Ду-25 Ру-16 Выполняют функцию запирающих устройств, позволяют перекрывать либо освобождать поток жидкой и воздушной сред. Изделия применяются в трубопроводных комплексах по переводу пара, нефтепродуктов, воды и т.д. </t>
  </si>
  <si>
    <t xml:space="preserve">Вентиль чугунный  15ч9п Ду-15 Ру-16 Выполняют функцию запирающих устройств, позволяют перекрывать либо освобождать поток жидкой и воздушной сред. Изделия применяются в трубопроводных комплексах по переводу пара, нефтепродуктов, воды и т.д. </t>
  </si>
  <si>
    <t xml:space="preserve">Вентиль чуг. 15ч9п Ду-50 Ру-16. Выполняют функцию запирающих устройств, позволяют перекрывать либо освобождать поток жидкой и воздушной сред. Изделия применяются в трубопроводных комплексах по переводу пара, нефтепродуктов, воды и т.д. </t>
  </si>
  <si>
    <t xml:space="preserve">Кран шаровой стальной муфтовый LD КШЦМ Ду80 Выполняют функцию запирающих устройств, позволяют перекрывать либо освобождать поток технической воды. Изделия применяются в трубопроводных комплексах воды и водовозах. </t>
  </si>
  <si>
    <t>Разъединитель РЛНД-10 УХЛ-1 с приводом ПРНЗ-10 УХЛ-1 на напряжение 10кВ предназначены для включения и отключения под напряжением участков электрической цепи высокого напряжения при отсутствии нагрузочного тока, а также заземления отключенных участков линий при помощи стационарных-заземляющих ножей, при их наличии.1200x470x385, Артикул P-0244620</t>
  </si>
  <si>
    <t>Высоковольтный предохранитель ПК-6 (ПКТ-6) на 100А предназначен для защиты силовых трансформаторов, воздушных кабельных линий. Данный тип предохранителей устанавливаются на стороне высокого напряжения трансформаторных подстанций, укомплектованных трансформатором</t>
  </si>
  <si>
    <t>Рубильник-переключатель 4P, I-0-II, 630A, до 690В АС HI458; Перекидной рубильник 630А, 4 полюса, HI458 Hager Трехпозиционный перекидной рубильник 630А одновременно переключает 4 полюса - 3 фазы и ноль. Переключение происходит через нулевое положение. Устанавливается в навесных и напольных распределительных щитах. Соответствует стандарту EN60947-3.</t>
  </si>
  <si>
    <t>3СТп -10- 70/120 соединительная кабельная муфта, без болтовых соединителей, для установки на 3-х жильный кабель до 10 кВ; Характеристики тип установки: внутр. + наружн.; тип кабеля: с/без брони; диапазон сечений (мм²): 70-120; болт. в компл.:   нет;изоляция:   бумажная; тип муфты:   соединительная; напр. (кВ):   6; 10; жил в кабеле:  3;сечение (мм²)70; 95;120;</t>
  </si>
  <si>
    <t>Муфта концевая КНтп 3 70/95/120 в Муфта марки КНтп-10-70/120 идет в комплекте с наконечниками на диапазон сечений 70/120 кв. мм. Они выполняются из алюминиевого сплава и дополнены контактными винтами с головками, которые срываются при затягивании. Муфты могут использоваться с кабелем с алюминиевыми и медными токопроводящими жилами и обеспечивают надежное соединение.</t>
  </si>
  <si>
    <t>КСР-6(10)кВ Коробка соединительная рудничная КСР-6(10) предназначена для надежного соединения гибких и бронированных кабелей электропитания оборудования, в трехфазных сетях 6(10) кВ с изолированной нейтралью. В зависимости от типа исполнения, обеспечивают разъединение и заземление линий в сетях 6(10) кВ с изолированной нейтралью. КСР-6-630-С-02-2 УХЛ5 - коробка соединительная рудничная, номинальное напряжение 6кВ, номинальный ток 400А, С-соединительная, конструктивное исполнение корпуса 02, количество кабельных вводов 2, климатическое исполнение и категория размещения УХЛ5.</t>
  </si>
  <si>
    <t>Коробки разветвлительные КРН 250 ; коробки КРН-250 используются в качестве соединяющих и разветвляющих узлов гибкого кабеля и проводов из меди или алюминия. ТУ 3418-012-50578968-2013; Исполнение (маркировка взрывозащиты) -РН1; Номинальное напряжение, В - 660 Номинальный ток, А - 200; 250 Номинальная частота тока, Гц - 50 Число вводных устройств, шт. - 4 Сечение жил кабеля, мм2 - 6-70 Наружный диаметр подсоединяемого кабеля, мм - 24-52 Число зажимов, шт.: силовых - 6 заземляющих - 3 Исполнение - Рудничное нормальное РН2 Масса, кг - 9,2; Гарантийный срок - 2 года со дня ввода коробки в эксплуатацию.</t>
  </si>
  <si>
    <t>Итог</t>
  </si>
  <si>
    <t>итог</t>
  </si>
  <si>
    <t>Пропан (суюлтирилган газ)</t>
  </si>
  <si>
    <t>C₃H₈</t>
  </si>
  <si>
    <t>Капиталный ремонт электродвигателей</t>
  </si>
  <si>
    <t>Капитальный ремонт оборудования — это процесс, в ходе которого производится полная замена или восстановление составных частей и узлов оборудования, с целью восстановления его работоспособности и продления срока его службы.</t>
  </si>
  <si>
    <t>ед</t>
  </si>
  <si>
    <t>Капиталный ремонт трансформаторов</t>
  </si>
  <si>
    <t>Испытание высоковольтных ячейк ЯКНО 6-10кВ</t>
  </si>
  <si>
    <t>Испытание силовых трансформаторов 6-10/0,4 кВ</t>
  </si>
  <si>
    <t>Возобновляемые источники энергии</t>
  </si>
  <si>
    <t>Гелиоколлекторы</t>
  </si>
  <si>
    <t>Фотоэлектростанции</t>
  </si>
  <si>
    <t>мощ квт</t>
  </si>
  <si>
    <t xml:space="preserve">Ремкомплект к перфоратору ПП-63 </t>
  </si>
  <si>
    <t>Состав 1 комплекта должно входить нижеуказанные зап. части.
Собачка	 шт	 16
пружина собачки 	 шт	 16
Кольца храповое	 шт	 1
Винт поворотная	 шт	 1
Корпус золотниковой коробки 	шт	 1
Золотник	 шт	 1
Крышка золотниковой коробки	 шт	 1
Болт стяжной с гайкой	 шт	 2
Трубка водяная 	шт	 1
Втулка соединительная	 шт 	1
Трубка воздушная	 шт	 1
Цилиндр 	 шт	 1
Букса направляющая	 шт 	1
Букса шлицевая	 шт 	1
Буродержатель 	шт	 1
Букса поворотная	 шт	 1
Поршень-ударник	Вентиль воздушная	 шт	 1</t>
  </si>
  <si>
    <t>Актуатор</t>
  </si>
  <si>
    <t>Цилиндр подачи 850</t>
  </si>
  <si>
    <t>Цапфовый блок</t>
  </si>
  <si>
    <t>Главный гидрораспределитель</t>
  </si>
  <si>
    <t>Заднее распорное кольцо</t>
  </si>
  <si>
    <t xml:space="preserve"> Распорное кольцо</t>
  </si>
  <si>
    <t>Труба ПНД DN 63 Полиэтиленовая ПЭ 100 SDR 11 (PN16)</t>
  </si>
  <si>
    <t>Сфера применения: для напорного питьевого водоснабжения
Наружный диаметр Трубы dn 63: 63 мм
Толщина стенки трубы dn 63 sdr 11: 5,8 мм
Внутренний диаметр пэ Трубы dn 63 sdr 11: 51,4мм.
OD/ID: 63/51,4мм
SDR: sdr 11
Номинальное давление (PN): 16 АТМ
Вес погонного метра, кг: 1,05
Материал: полиэтилен ПНД ПЭ 100
Вид отгрузки: бухты по 100м.,
Размеры бухты dn 63 sdr 11: Дв х Ш х Дн, м
- бухта 100м. ориентировочно - внутренний диаметр 1,2м., ширина бухты 0,5м., наружный диаметр 1,7м.</t>
  </si>
  <si>
    <t>Раздел энергетики</t>
  </si>
  <si>
    <t>Раздел транспорт</t>
  </si>
  <si>
    <t>Раздел ГСМ</t>
  </si>
  <si>
    <t>Раздел ТБ</t>
  </si>
  <si>
    <t>Раздел горный отд.</t>
  </si>
  <si>
    <t>Раздел геология</t>
  </si>
  <si>
    <t>Раздел геофизика</t>
  </si>
  <si>
    <t>Раздел механика</t>
  </si>
  <si>
    <t>Раздел металлопрокат</t>
  </si>
  <si>
    <t>Частотный преобразователь VFD300F43A - 30 кВт; 3 x 400V - 30 кВт; 3 x 400V; Номинальное напряжение 3х380/400V; Производитель Delta Electronics; Мощность 30 кВт; Режим управления V/f (скалярное, вольт-частотное); Перегрузка 120% 60сек Аналоговые входы 3; Дискретные входы 10 ; Аналоговые выходы 1; Дискретные выходы 2; ПИД-регулятор Да;  Тормозной модуль Нет; Встроенный контроллер (PLC) Да;  Интерфейс RS-485; Степень защиты IP 20 .Рабочая температура, С -10 — 40</t>
  </si>
  <si>
    <t>Канат стальной 16,5 мм</t>
  </si>
  <si>
    <t>ПМА-4100 УХЛ4 В, 380В, 2з+2р, 63А, нереверсивный, без реле, IP00 (ЭТ) Катушка - 220В 50?з; Номинал ток - 63А Уровень зашиты - ИР01</t>
  </si>
  <si>
    <t>ПМА-4100 УХЛ4 В, 380В, 2з+2р, 25А, нереверсивный, без реле, IP00 (ЭТ) Катушка - 220В 50?з; Номинал ток - 63А Уровень зашиты - ИР02</t>
  </si>
  <si>
    <t xml:space="preserve">Амперметр М381, щитовой прибор магнитоэлектрической системы, предназначенный для измерения тока и напряжения в цепи постоянного тока. Класс точности - 1,5. Габаритные размеры - 120?120?60мм.Амперметр М381 500-0-500А </t>
  </si>
  <si>
    <t xml:space="preserve">Вольтметр М381 - щитовой прибор магнитоэлектрической системы, предназначенный для измерения тока и напряжения в цепи постоянного тока. Класс точности - 1,5. Габаритные размеры - 120?120?60мм.Амперметр М381 500-0-500А </t>
  </si>
  <si>
    <t xml:space="preserve">Кабель гибкий КГ 1х10 предназначен для присоединения передвижных механизмов к электрическим сетям на номинальное переменное напряжение 380 В частоты до 400 Гц или постоянное номинальное напряжение 660 В. Технические характеристики.  Сечение жил, mm?: 10.  Количество жил: 1.  Материал жил: Медь.  Тип жилы: Многожильный.     Изоляция кабеля (провода): Резиновая.    Назначение: Кабели КГ могут использоваться в заземляющих устройствах, а также для осуществления различных видов электротехнических работ.    </t>
  </si>
  <si>
    <t> АИР160S2 IM1081(B3)– трехфазный асинхронный электродвигатель 15 кВт 3000 об/мин общепромышленного назначения с короткозамкнутым ротором. Мощность 7,5 кВт Частота вращения поля статора 3000 об/мин Скорость вращения вала 2895 оборотов Тип Асинхронный Напряжение питания Трехфазное, 220/380, 380/660 вольт Монтажное исполнение -комбинированное;</t>
  </si>
  <si>
    <t xml:space="preserve">Согласно заявкам Зармитан ПЭ ПНД ?32-200м. Ш. Курама 2000 метров Для протяжки с  водной уч. до бур плошадки.  </t>
  </si>
  <si>
    <t xml:space="preserve">Согласно заявкам по праходки горных работ Самарканд ЦГРЭ 3400 м. Тошкент ЦГРЭ 4800 м. ?50-6300 м. Гиссар ЦГРЭ 1000 м. Для обеспечения бур бр. с технической водой используют полиэтиленовые трубы. Всего 9300 метров  </t>
  </si>
  <si>
    <t xml:space="preserve">Полиэтиленовая труба ПЭ-100 SDR?11 - 25?2,3 питьевая </t>
  </si>
  <si>
    <t xml:space="preserve">Согласно заявкам Самарканд ЦПГРЭ  ?25-400м. Тошкент ЦПРЭ 2000 м. Для протяжки с админ.здания до холодной воды. Ц.Л. Для подачи тех воды до лобаротории </t>
  </si>
  <si>
    <t>3СТп -10- 70/120 соединительная кабельная муфта, без болтовых соединителей, для установки на 3-х жильный кабель до 10 кВ; Характеристики тип установки: внутр. + наружн.; тип кабеля: с/без брони; диапазон сечений (мм?): 70-120; болт. в компл.:   нет;изоляция:   бумажная; тип муфты:   соединительная; напр. (кВ):   6; 10; жил в кабеле:  3;сечение (мм?)70; 95;120;</t>
  </si>
  <si>
    <t>Раздел ПТО</t>
  </si>
  <si>
    <t>ПЛАН-ГРАФИК государственных закупок АО "Узбекгеологоразведка"на  2024г.</t>
  </si>
  <si>
    <t>Харидлар бўйича директор</t>
  </si>
  <si>
    <t>Бош геолог</t>
  </si>
  <si>
    <t>Молиявий директор</t>
  </si>
  <si>
    <t>Бош мухандис</t>
  </si>
  <si>
    <t>Маслахатчи</t>
  </si>
  <si>
    <t>Департамент директори</t>
  </si>
  <si>
    <t>С.Когай</t>
  </si>
  <si>
    <t>Э.Эргашев</t>
  </si>
  <si>
    <t>Р.Раджапов</t>
  </si>
  <si>
    <t>Ш.Сиражов</t>
  </si>
  <si>
    <t>С.Дерягин</t>
  </si>
  <si>
    <t>Ё.Зокиров</t>
  </si>
  <si>
    <t>Раздел буровые инструменты сск</t>
  </si>
  <si>
    <t>Пресс гидравлический ручной</t>
  </si>
  <si>
    <t>ПРГ-14</t>
  </si>
  <si>
    <t>Пресс клеши</t>
  </si>
  <si>
    <t>СН-48Б</t>
  </si>
  <si>
    <t>Сумма за ед</t>
  </si>
  <si>
    <t>Общая сумма</t>
  </si>
  <si>
    <t>сумма за 1 кв</t>
  </si>
  <si>
    <t>сумма за 2 кв</t>
  </si>
  <si>
    <t>сумма за 3 кв</t>
  </si>
  <si>
    <t>сумма за 4 кв</t>
  </si>
  <si>
    <t>Канат ССК 6,35 мм L-1000 м (барабан)</t>
  </si>
  <si>
    <r>
      <t>Трос в сборе, главной лебёдки диаметром</t>
    </r>
    <r>
      <rPr>
        <sz val="11"/>
        <color rgb="FFFF0000"/>
        <rFont val="Times New Roman"/>
        <family val="1"/>
        <charset val="204"/>
      </rPr>
      <t xml:space="preserve"> 22 </t>
    </r>
    <r>
      <rPr>
        <sz val="11"/>
        <color theme="1"/>
        <rFont val="Times New Roman"/>
        <family val="1"/>
        <charset val="204"/>
      </rPr>
      <t xml:space="preserve">мм с серьгой (30м) </t>
    </r>
  </si>
  <si>
    <t>Шланг водяной 9 м, 1" нагнетательный шланг на сальник-вертлюг</t>
  </si>
  <si>
    <r>
      <t>Трос в сборе, главной лебёдки диаметром</t>
    </r>
    <r>
      <rPr>
        <sz val="11"/>
        <color rgb="FFFF0000"/>
        <rFont val="Times New Roman"/>
        <family val="1"/>
        <charset val="204"/>
      </rPr>
      <t xml:space="preserve"> 19 </t>
    </r>
    <r>
      <rPr>
        <sz val="11"/>
        <color theme="1"/>
        <rFont val="Times New Roman"/>
        <family val="1"/>
        <charset val="204"/>
      </rPr>
      <t xml:space="preserve">мм с серьгой (30м) </t>
    </r>
  </si>
  <si>
    <r>
      <t>Трос в сборе, главной лебёдки диаметром</t>
    </r>
    <r>
      <rPr>
        <sz val="11"/>
        <color rgb="FFFF0000"/>
        <rFont val="Times New Roman"/>
        <family val="1"/>
        <charset val="204"/>
      </rPr>
      <t xml:space="preserve"> 24 </t>
    </r>
    <r>
      <rPr>
        <sz val="11"/>
        <color theme="1"/>
        <rFont val="Times New Roman"/>
        <family val="1"/>
        <charset val="204"/>
      </rPr>
      <t xml:space="preserve">мм с серьгой (23м) </t>
    </r>
  </si>
  <si>
    <t>1. В управление, отдел ПТО (для командировок)                          2. Для экономистов Ташкентской ЦГРЭ (для командировок)</t>
  </si>
  <si>
    <t>Участок Геобурсервис</t>
  </si>
  <si>
    <t>Базовая тележка с 7-ью ящиками</t>
  </si>
  <si>
    <t>№10517-310</t>
  </si>
  <si>
    <t xml:space="preserve">Диномометрический ключ  </t>
  </si>
  <si>
    <t>№6474645</t>
  </si>
  <si>
    <t xml:space="preserve">Набор плоскогубцев для стопорных колец </t>
  </si>
  <si>
    <t>№50653</t>
  </si>
  <si>
    <t xml:space="preserve">Набор труборезов и инструментов для двойной развальцовки </t>
  </si>
  <si>
    <t>№656М</t>
  </si>
  <si>
    <t>Трубный ключ, размер 2</t>
  </si>
  <si>
    <t>№684С22</t>
  </si>
  <si>
    <t xml:space="preserve">Набор надфилей </t>
  </si>
  <si>
    <t>№50513</t>
  </si>
  <si>
    <t>комп.</t>
  </si>
  <si>
    <t xml:space="preserve">Набор напильников </t>
  </si>
  <si>
    <t xml:space="preserve">№ 5056 </t>
  </si>
  <si>
    <t>Набор долот и пробойников</t>
  </si>
  <si>
    <t xml:space="preserve"> № 5131 </t>
  </si>
  <si>
    <t>Набор спиральных свёрел</t>
  </si>
  <si>
    <t xml:space="preserve">№ 924U1  </t>
  </si>
  <si>
    <t>Набор экстракторов для болтов</t>
  </si>
  <si>
    <t>№ 920U3</t>
  </si>
  <si>
    <t xml:space="preserve">Набор экстракторов </t>
  </si>
  <si>
    <t>№ 908U2</t>
  </si>
  <si>
    <t>Набор метчиков и плашек</t>
  </si>
  <si>
    <t xml:space="preserve">№ 943U1   </t>
  </si>
  <si>
    <t>Набор резьбомеров</t>
  </si>
  <si>
    <t xml:space="preserve">№ 907U2 </t>
  </si>
  <si>
    <t>Тиски настольные</t>
  </si>
  <si>
    <t>№ 6540106</t>
  </si>
  <si>
    <t>Щуп</t>
  </si>
  <si>
    <t xml:space="preserve">№ 618L </t>
  </si>
  <si>
    <t>Штангенциркуль типа А</t>
  </si>
  <si>
    <t>№ 5096Р1А30</t>
  </si>
  <si>
    <t>Индикатор стрелочный</t>
  </si>
  <si>
    <t xml:space="preserve">№ 891А01    </t>
  </si>
  <si>
    <t>Комбинированный набор</t>
  </si>
  <si>
    <t>№ 5157N</t>
  </si>
  <si>
    <t>Смазочный шприц рычажного типа</t>
  </si>
  <si>
    <t>№ 88704Н9</t>
  </si>
  <si>
    <t>Набор шестигранных ключей</t>
  </si>
  <si>
    <t xml:space="preserve">№ 5116XLB </t>
  </si>
  <si>
    <t xml:space="preserve">№ 5116XLBS </t>
  </si>
  <si>
    <t>Набор отвёрток</t>
  </si>
  <si>
    <t xml:space="preserve">№ 21410     </t>
  </si>
  <si>
    <t>Комплект съёмников</t>
  </si>
  <si>
    <t xml:space="preserve">№ 66622    </t>
  </si>
  <si>
    <t>Комплект съёмников для подшипников</t>
  </si>
  <si>
    <t xml:space="preserve">№ 66606  </t>
  </si>
  <si>
    <t>Набор внутренних и наружных съёмников</t>
  </si>
  <si>
    <t xml:space="preserve">№ 66431   </t>
  </si>
  <si>
    <t>Ключ-ремень для фильтров</t>
  </si>
  <si>
    <t xml:space="preserve">№ 61908  </t>
  </si>
  <si>
    <t>Трёхногий ключ для фильтров</t>
  </si>
  <si>
    <t xml:space="preserve">№ 61913   </t>
  </si>
  <si>
    <t>Набор долот по дереву</t>
  </si>
  <si>
    <t xml:space="preserve">№ YT-62830  </t>
  </si>
  <si>
    <t>Набор стамесок по дереву</t>
  </si>
  <si>
    <t xml:space="preserve">№ YT-6260   </t>
  </si>
  <si>
    <t>Молоток-гвоздодёр</t>
  </si>
  <si>
    <t xml:space="preserve">№ YT-4570   </t>
  </si>
  <si>
    <t>Гвоздодёр</t>
  </si>
  <si>
    <t xml:space="preserve">№ YT-46800       </t>
  </si>
  <si>
    <t>Топор</t>
  </si>
  <si>
    <t xml:space="preserve">№ YT-8001  </t>
  </si>
  <si>
    <t>Резиновый молоток с деревянной ручкой</t>
  </si>
  <si>
    <t xml:space="preserve">№ YT-4602   </t>
  </si>
  <si>
    <t>Молоток с головкой из нейлона</t>
  </si>
  <si>
    <t xml:space="preserve">№ YT-4631   </t>
  </si>
  <si>
    <t>Молоток</t>
  </si>
  <si>
    <t xml:space="preserve">№ YT-4622       </t>
  </si>
  <si>
    <t>Тепловая пушка</t>
  </si>
  <si>
    <t xml:space="preserve">№ YT-82293   </t>
  </si>
  <si>
    <t>Цифровой мульти метр</t>
  </si>
  <si>
    <t xml:space="preserve">№ YT-73091  </t>
  </si>
  <si>
    <t>Паяльник</t>
  </si>
  <si>
    <t>№ YT-82472</t>
  </si>
  <si>
    <t>Универсальный ключ для зачистки проводов</t>
  </si>
  <si>
    <t xml:space="preserve">№ YT-2254 </t>
  </si>
  <si>
    <t>Набор зажимных плоскогубцев</t>
  </si>
  <si>
    <t xml:space="preserve">№ YT-39172  </t>
  </si>
  <si>
    <t xml:space="preserve"> Набор ключей</t>
  </si>
  <si>
    <t xml:space="preserve">№ 5261   </t>
  </si>
  <si>
    <t>Ключ</t>
  </si>
  <si>
    <t xml:space="preserve">№ 79136  </t>
  </si>
  <si>
    <t xml:space="preserve">№ 79138  </t>
  </si>
  <si>
    <t>№ 79141</t>
  </si>
  <si>
    <t>№ 79150</t>
  </si>
  <si>
    <t>№ 79155</t>
  </si>
  <si>
    <t>Набор ключей с шестигранной и шариковой головкой</t>
  </si>
  <si>
    <t>№ 5106В</t>
  </si>
  <si>
    <t>Мульти метр клещевой</t>
  </si>
  <si>
    <t xml:space="preserve">до 1000А      </t>
  </si>
  <si>
    <t>Угловая шлифовальная машинка</t>
  </si>
  <si>
    <t>ф125 мм. на 220 Вт.</t>
  </si>
  <si>
    <t>ф180 мм. на 220 Вт.</t>
  </si>
  <si>
    <t>Кёрхер для мойки оборудования</t>
  </si>
  <si>
    <t>220 Вт</t>
  </si>
  <si>
    <r>
      <t>Частотный преобразователь VFD300F43A - 30 кВт; 3 x 400V - 30 кВт; 3 x 400V; Номинальное напряжение 3х380/400V; Производитель Delta Electronics; Мощность 30 кВт; Режим управления V/f (скалярное, вольт-частотное); Перегрузка 120% 60сек Аналоговые входы 3; Дискретные входы 10 ; Аналоговые выходы 1; Дискретные выходы 2; ПИД-регулятор Да;  Тормозной модуль Нет; Встроенный контроллер (PLC) Да;  Интерфейс RS-485; Степень защиты IP 20 .</t>
    </r>
    <r>
      <rPr>
        <u/>
        <sz val="16"/>
        <rFont val="Times New Roman"/>
        <family val="1"/>
        <charset val="204"/>
      </rPr>
      <t>Рабочая температура, С -10 — 40</t>
    </r>
  </si>
  <si>
    <r>
      <t> АИР160S2 IM1081(B3)– трехфазный асинхронный электродвигатель</t>
    </r>
    <r>
      <rPr>
        <b/>
        <sz val="16"/>
        <rFont val="Times New Roman"/>
        <family val="1"/>
        <charset val="204"/>
      </rPr>
      <t xml:space="preserve"> 15 кВт 3000 об/мин </t>
    </r>
    <r>
      <rPr>
        <sz val="16"/>
        <rFont val="Times New Roman"/>
        <family val="1"/>
        <charset val="204"/>
      </rPr>
      <t>общепромышленного назначения с короткозамкнутым ротором. Мощность 7,5 кВт Частота вращения поля статора 3000 об/мин Скорость вращения вала 2895 оборотов Тип Асинхронный Напряжение питания Трехфазное, 220/380, 380/660 вольт Монтажное исполнение -комбинированное;</t>
    </r>
  </si>
  <si>
    <t>ИТОГ ОБЩИЙ:</t>
  </si>
  <si>
    <t>ИТОГ</t>
  </si>
  <si>
    <t>Общ.сумма</t>
  </si>
  <si>
    <t>Итого:</t>
  </si>
  <si>
    <t xml:space="preserve">Энергетические инструменты </t>
  </si>
  <si>
    <t>Провода (Изолирующая/не изолирующая)</t>
  </si>
  <si>
    <t>Задвижки/Вентеля/Краны поли</t>
  </si>
  <si>
    <t>Фильтра</t>
  </si>
  <si>
    <t>Домкраты для геофизической партии</t>
  </si>
  <si>
    <t>Горные работы</t>
  </si>
  <si>
    <t>I</t>
  </si>
  <si>
    <t>II</t>
  </si>
  <si>
    <t>III</t>
  </si>
  <si>
    <t>V</t>
  </si>
  <si>
    <t>VI</t>
  </si>
  <si>
    <t>VII</t>
  </si>
  <si>
    <t>VIII</t>
  </si>
  <si>
    <t>IX</t>
  </si>
  <si>
    <t>X</t>
  </si>
  <si>
    <t>XI</t>
  </si>
  <si>
    <t>XII</t>
  </si>
  <si>
    <t>XIII</t>
  </si>
  <si>
    <t>ЭНЕРГЕТИКА</t>
  </si>
  <si>
    <t>ТРАНСПОРТ</t>
  </si>
  <si>
    <t>ТЕХНИКА БЕЗОПАСНОСТИ</t>
  </si>
  <si>
    <t>ГЕОЛОГИЯ</t>
  </si>
  <si>
    <t>ГЕОФИЗИКА</t>
  </si>
  <si>
    <t>МЕХАНИКА</t>
  </si>
  <si>
    <t>МЕТАЛЛОПРОКАТ</t>
  </si>
  <si>
    <t>ОРГТЕХНИКА</t>
  </si>
  <si>
    <t>БУРОВЫЕ ИНСТРУМЕНТЫ ССК</t>
  </si>
  <si>
    <t xml:space="preserve">Общая сумма </t>
  </si>
  <si>
    <t>III-квартал</t>
  </si>
  <si>
    <t>IV-квартал</t>
  </si>
  <si>
    <t>II-квартал</t>
  </si>
  <si>
    <t>I-квартал</t>
  </si>
  <si>
    <t>Дизельное топливо</t>
  </si>
  <si>
    <t>Бензин</t>
  </si>
  <si>
    <t>Газ</t>
  </si>
  <si>
    <t>Масла</t>
  </si>
  <si>
    <t>Дизель</t>
  </si>
  <si>
    <t>Лаборатория</t>
  </si>
  <si>
    <t>Дробцех</t>
  </si>
  <si>
    <t>Полевые</t>
  </si>
  <si>
    <t>Аналитика</t>
  </si>
  <si>
    <t>Прочее (пневмоударники/коронки/ТБСУ/)</t>
  </si>
  <si>
    <t xml:space="preserve">Обсадные трубы </t>
  </si>
  <si>
    <t>Хим реагенты</t>
  </si>
  <si>
    <t xml:space="preserve">Технологическое </t>
  </si>
  <si>
    <t xml:space="preserve">Арматура </t>
  </si>
  <si>
    <t>Шестигранник</t>
  </si>
  <si>
    <t xml:space="preserve">Уголок </t>
  </si>
  <si>
    <t>Инструменты</t>
  </si>
  <si>
    <t>Гелиоколлекторы 200 л</t>
  </si>
  <si>
    <t>-</t>
  </si>
  <si>
    <t>Ўлчов 
бирлиги</t>
  </si>
  <si>
    <t>Констовары Геология</t>
  </si>
  <si>
    <t>Оргтехники Геология</t>
  </si>
  <si>
    <t>Канцелярия Геофизика</t>
  </si>
  <si>
    <t>Ортехника Геофизика</t>
  </si>
  <si>
    <t xml:space="preserve">Тип  Набор карандашей
Комплектация: 24 карандаша
Упаковка    Картонная коробка
</t>
  </si>
  <si>
    <t>XIV</t>
  </si>
  <si>
    <t>КАНЦТОВАРЫ</t>
  </si>
  <si>
    <t>Геологи</t>
  </si>
  <si>
    <t>Геофизики</t>
  </si>
  <si>
    <t>Аппарат</t>
  </si>
  <si>
    <t>Геология</t>
  </si>
  <si>
    <t xml:space="preserve">Гелиоколлекторы </t>
  </si>
  <si>
    <t>Возобнавляемые источники энергии. Геоколлектор- это устройство, в котором за счет солнечной энергии нагревается теплоноситель, в качестве которого чаще всего выступает вода. В дальнейшем она может использоваться для бытовых нужд, обогрева помещения или в технологических процессах. Также солнечный коллектор для бассейна может подогревать воду до комфортной температуры.</t>
  </si>
  <si>
    <t>Во исполнения гос программы по экономии эл.энергия требуется внедрения гелиоколлекторов в следующих подразделениях: Кизылкумской ЦГРЭ 6 шт по (200 л), Гиссарской ЦГРЭ  4 шт по (200 л), Самаркандской ЦГРЭ  6 шт по (200 л), Тошкентской ЦГРЭ  4 шт по (200 л), Ц.Л  2 шт по (200 л) Геобурсервис  2 шт по (200 л)</t>
  </si>
  <si>
    <t>Делители джонсона малого размера</t>
  </si>
  <si>
    <t>Международные СОС и бланки</t>
  </si>
  <si>
    <t xml:space="preserve"> Пункт № 1. Канцелярские товары </t>
  </si>
  <si>
    <t>Путевой лист</t>
  </si>
  <si>
    <t>Dispetcher jurnali (200 varoq)  1 йил учун</t>
  </si>
  <si>
    <t>Mexanik jurnali  1 йил учун</t>
  </si>
  <si>
    <t>Tibbiy ko'rik jurnali  1 йил учун</t>
  </si>
  <si>
    <t>Ish joyida mehnat muhofazasi bo'yicha yo'riqnomadan o'tkazishni qayd etish jurnali 1 йил учун</t>
  </si>
  <si>
    <t>1-darajali tezkor nazorat jurnali 1 йил учун</t>
  </si>
  <si>
    <t>2-darajali tezkor nazorat jurnali 1 йил учун</t>
  </si>
  <si>
    <t>3-darajali tezkor nazorat jurnali 1 йил учун</t>
  </si>
  <si>
    <t>Kirish yo'riqnomasi o'tkazishni qayd etish jurnali 1 йил учун</t>
  </si>
  <si>
    <t>Yerlantirgichni ko'zdan kechirish va o'lchash jurnali 1 йил учун</t>
  </si>
  <si>
    <t>Elektr uskunalarni ko'zdan kechirish jurnali 1 йил учун</t>
  </si>
  <si>
    <t>Burg'ulash va portlatish ishlariga topshiriq berish jurnali (yer osti ishlari uchun) 1 йил учун</t>
  </si>
  <si>
    <t>Topshiriq berish jurnali 1 йил учун</t>
  </si>
  <si>
    <t>Avtomobillar shinasining bosib o'tgan kiloмlari hisobotini olib borish blankasi 1 йил учун</t>
  </si>
  <si>
    <t>Папка  для бумаг</t>
  </si>
  <si>
    <t>Бумага А4</t>
  </si>
  <si>
    <t>Гелиевая ручка чёрного цвета.</t>
  </si>
  <si>
    <t>Гелиевая ручка красного цвета.</t>
  </si>
  <si>
    <t>Гелиевая ручка синего цвета.</t>
  </si>
  <si>
    <t>Линейка металлическая нержавейка 50 см.</t>
  </si>
  <si>
    <t>Линейка металлическая нержавейка 1 м.</t>
  </si>
  <si>
    <t>Линейка металлическая нержавейка 30 см.</t>
  </si>
  <si>
    <t>Карандаш М (мягкий) для геологических чертежей.</t>
  </si>
  <si>
    <t>Миллимовка</t>
  </si>
  <si>
    <t>Ножницы</t>
  </si>
  <si>
    <t>Ручка </t>
  </si>
  <si>
    <t> Скоба</t>
  </si>
  <si>
    <t>Клей ПВА</t>
  </si>
  <si>
    <t>Штрих ручка.</t>
  </si>
  <si>
    <t>Папка регистор</t>
  </si>
  <si>
    <t>Папка скоросшиватель</t>
  </si>
  <si>
    <t>Тедрадь 36 листов</t>
  </si>
  <si>
    <t>Тедрадь 48листов</t>
  </si>
  <si>
    <t>Скрепка</t>
  </si>
  <si>
    <t>Батарейка (GPS)</t>
  </si>
  <si>
    <t>Ko`k  choy  1-navli        (заварка)</t>
  </si>
  <si>
    <t>Oq qog'oz A4</t>
  </si>
  <si>
    <t xml:space="preserve">Marker qora </t>
  </si>
  <si>
    <t>Marker qizil</t>
  </si>
  <si>
    <t>Vatman qog`ozi</t>
  </si>
  <si>
    <t>Milliмovka</t>
  </si>
  <si>
    <t>Izmiritel</t>
  </si>
  <si>
    <t>Masshtabka</t>
  </si>
  <si>
    <t>Papka skoroshivatel</t>
  </si>
  <si>
    <t>Papka qog`oz uchun</t>
  </si>
  <si>
    <t>Papka Javon</t>
  </si>
  <si>
    <t>Sovun (мыло)</t>
  </si>
  <si>
    <t>Ruletka 50 m</t>
  </si>
  <si>
    <t>Qora qalam  (карандаш чёрный ТМ)</t>
  </si>
  <si>
    <t>Rangli qalam (карандаш цветной 1-п. 12шт)</t>
  </si>
  <si>
    <t>Ruchka   (ручка шариковая синяя)</t>
  </si>
  <si>
    <t>Elim qalam  (клей ПВА  400гр)</t>
  </si>
  <si>
    <t>Elim qalam  (клей карандаш 30гр)</t>
  </si>
  <si>
    <t>Skrepka        (скрипка)</t>
  </si>
  <si>
    <t>Skoba  (скоба для сцеплера 24/6. 0012)</t>
  </si>
  <si>
    <t>Papka skoroshivatel   (папка для  бумаг)</t>
  </si>
  <si>
    <t>Papka qog`oz uchun  (папка  скорошиватель)</t>
  </si>
  <si>
    <t>Qistirgich     (зажим 1/10,1/16,1/24,1/32)</t>
  </si>
  <si>
    <t>Daftar  (тетрадь 12-листовая)</t>
  </si>
  <si>
    <t>Qozon alyumnli 5 литрli (казан алюминовой)</t>
  </si>
  <si>
    <t>Choynak  2 litirli (чайник эмалированный)</t>
  </si>
  <si>
    <t>Temir chelak 10 литрli  (ведро металлическая)</t>
  </si>
  <si>
    <t>Supurgi  (веник)</t>
  </si>
  <si>
    <t>Kir yuvish ko`kini  3 кг  (стиральный порошок)</t>
  </si>
  <si>
    <t>Oq qog`oz (Бумага А4)</t>
  </si>
  <si>
    <t>Ploret qog`ozi (Плоттерная бумага 914 150м)</t>
  </si>
  <si>
    <t xml:space="preserve"> Javon papkasi (Папка Жавон)</t>
  </si>
  <si>
    <t>Marker qora (Маркер чёрнего  цвета)</t>
  </si>
  <si>
    <t>Marker qizil (Маркер красного  цвета)</t>
  </si>
  <si>
    <t>Ruletka (Геодезическая рулетка 10 м)</t>
  </si>
  <si>
    <t>Ruletka (Геодезическая рулетка 50 м)</t>
  </si>
  <si>
    <t>Фотобумага А4</t>
  </si>
  <si>
    <t>Папка для бумаг</t>
  </si>
  <si>
    <t>Папка для бумаг толщ.10 см</t>
  </si>
  <si>
    <t>Скоросшиватель</t>
  </si>
  <si>
    <t>Скоросшиватель пластик пружина</t>
  </si>
  <si>
    <t>Скоросшиватель пластик зажим</t>
  </si>
  <si>
    <t>Дырокол</t>
  </si>
  <si>
    <t>Калькулятор</t>
  </si>
  <si>
    <t>Ручка гелиевая  0,02 мм</t>
  </si>
  <si>
    <t>Рулетка 50 м</t>
  </si>
  <si>
    <t>Бумага А3</t>
  </si>
  <si>
    <t>Тряпка для мытья пола</t>
  </si>
  <si>
    <t>Тряпка для мытья окон</t>
  </si>
  <si>
    <t>Гель для мытья посуды 450 гр</t>
  </si>
  <si>
    <t>Нитки швейные</t>
  </si>
  <si>
    <t xml:space="preserve">Цветные карандаши 12шт </t>
  </si>
  <si>
    <t>Карандаш чёрный  (konstrutor)</t>
  </si>
  <si>
    <t>Ручка шариковая</t>
  </si>
  <si>
    <t>Маркер (чёрн,красн,голубой) шнайдер</t>
  </si>
  <si>
    <t>Канцелярский нож</t>
  </si>
  <si>
    <t>Рулетка 50м металлические</t>
  </si>
  <si>
    <t>Скотч ширина 50мм</t>
  </si>
  <si>
    <t>Регистр папка</t>
  </si>
  <si>
    <t xml:space="preserve">Oq qog'oz  format: A4 zichligi 80 г/м² </t>
  </si>
  <si>
    <t xml:space="preserve"> усл.ед по широкоформатному печатанию баннеров</t>
  </si>
  <si>
    <t>Papka-plastik A4 (Папка-скоросшиватель пластиковая  A4)</t>
  </si>
  <si>
    <t>Bumvinil  (Бумвинил-материал переплетный)</t>
  </si>
  <si>
    <t>Мarker ВL-6824 (qora)</t>
  </si>
  <si>
    <t>Мarker ВL-6824 (qizil)</t>
  </si>
  <si>
    <t>Мarker ВL-6824 (ko'k)</t>
  </si>
  <si>
    <t xml:space="preserve">А-4 когоз </t>
  </si>
  <si>
    <t>Файловый листок</t>
  </si>
  <si>
    <t>Скоросшиватель папка</t>
  </si>
  <si>
    <t>Авторучка</t>
  </si>
  <si>
    <t>Мыло хозяйственное</t>
  </si>
  <si>
    <t>Канцелярский набор настольный</t>
  </si>
  <si>
    <t>А-4 бумага</t>
  </si>
  <si>
    <t xml:space="preserve">Карандаш простой </t>
  </si>
  <si>
    <t>Лоток для бумаги</t>
  </si>
  <si>
    <t>папка для документов</t>
  </si>
  <si>
    <t>папка скорошиватель</t>
  </si>
  <si>
    <t>папка для бумаг</t>
  </si>
  <si>
    <t>скрепка</t>
  </si>
  <si>
    <t>клей</t>
  </si>
  <si>
    <t>степлер большой</t>
  </si>
  <si>
    <t xml:space="preserve">степлер </t>
  </si>
  <si>
    <t>Stepler o'qi</t>
  </si>
  <si>
    <t>штрих ручка</t>
  </si>
  <si>
    <t>линейка металическая 50 см</t>
  </si>
  <si>
    <t>целлофан файл</t>
  </si>
  <si>
    <t>Пленка для ламинирования</t>
  </si>
  <si>
    <t>калькулятор</t>
  </si>
  <si>
    <t>карандаш цветная</t>
  </si>
  <si>
    <t xml:space="preserve">цветной маркер </t>
  </si>
  <si>
    <t>Тефал</t>
  </si>
  <si>
    <t>мыло хозяйственное</t>
  </si>
  <si>
    <t>карандаш</t>
  </si>
  <si>
    <t>пружина для переплёт</t>
  </si>
  <si>
    <t>Пленка для переплета</t>
  </si>
  <si>
    <t>Обложка  для переплета</t>
  </si>
  <si>
    <t>Маркер</t>
  </si>
  <si>
    <t>Дирокол</t>
  </si>
  <si>
    <t>ножница</t>
  </si>
  <si>
    <t>халат</t>
  </si>
  <si>
    <t>тряпка</t>
  </si>
  <si>
    <t>швабра cовременный</t>
  </si>
  <si>
    <t>губка</t>
  </si>
  <si>
    <t>oyna yuvgich</t>
  </si>
  <si>
    <t>линейка офицерская</t>
  </si>
  <si>
    <t>органайзер</t>
  </si>
  <si>
    <t>урна</t>
  </si>
  <si>
    <t>Бумага для заметок</t>
  </si>
  <si>
    <t>Точилка</t>
  </si>
  <si>
    <t xml:space="preserve">Чайник Тефал </t>
  </si>
  <si>
    <t>вентилятор</t>
  </si>
  <si>
    <t xml:space="preserve">Метла  </t>
  </si>
  <si>
    <t>совок с щеткой</t>
  </si>
  <si>
    <t>Швабра с ведром и авто отжимом</t>
  </si>
  <si>
    <t>Тряпка (насадка) для мытья пола</t>
  </si>
  <si>
    <t>Бумага  А4</t>
  </si>
  <si>
    <t>Ватман А0</t>
  </si>
  <si>
    <t xml:space="preserve">Деловой журнал </t>
  </si>
  <si>
    <t>Журнал баннер</t>
  </si>
  <si>
    <t>папка  скоросшиватель</t>
  </si>
  <si>
    <t>ручка гелевая</t>
  </si>
  <si>
    <t>ручка шариковая</t>
  </si>
  <si>
    <t>транспортир</t>
  </si>
  <si>
    <t>клей пва</t>
  </si>
  <si>
    <t>маркер черная</t>
  </si>
  <si>
    <t>ластик</t>
  </si>
  <si>
    <t>автоматическая карандаш НВ 05/07мм</t>
  </si>
  <si>
    <t>графическая стержен</t>
  </si>
  <si>
    <t>папка регистр</t>
  </si>
  <si>
    <t>Дырокол 0150</t>
  </si>
  <si>
    <t>Дырокол 0137</t>
  </si>
  <si>
    <t>Зажим 15мм</t>
  </si>
  <si>
    <t>Степлер Deli 0394, 23/6-23/13, 70 мм</t>
  </si>
  <si>
    <t>Степлер Deli 0324 №24/6</t>
  </si>
  <si>
    <t>Дело скорошиватель</t>
  </si>
  <si>
    <t>Папка офисная</t>
  </si>
  <si>
    <t xml:space="preserve">Архивная папка </t>
  </si>
  <si>
    <t>Фляга для воды 40л Алюминевый</t>
  </si>
  <si>
    <t>Внутренный замок с ручкой для дверей Акфапласт</t>
  </si>
  <si>
    <t>Гипкая подводка для воды (гайка-штуцер) 60см</t>
  </si>
  <si>
    <t>Гипкая подводка для воды (гайка-гайка) 60см</t>
  </si>
  <si>
    <t>Резиновое покрытие напольное в рулоне 1,2х1,0х0,03м</t>
  </si>
  <si>
    <t>Калькулятор офисный SDC-2200</t>
  </si>
  <si>
    <t>Степлер для скоб №24/6</t>
  </si>
  <si>
    <t xml:space="preserve">Пласмассовая ёмкость вместимостью 500л </t>
  </si>
  <si>
    <t>Вешалки настенные 4-6 подвес</t>
  </si>
  <si>
    <t>Швабра с отжимом для пола</t>
  </si>
  <si>
    <t>Щётки для уборки с черенком 110см</t>
  </si>
  <si>
    <t>Щётки для уборки пыли с черенком круглая</t>
  </si>
  <si>
    <t>Ведра металлические</t>
  </si>
  <si>
    <t>Ведра пластмассовые</t>
  </si>
  <si>
    <t>Щётка "смекалка"</t>
  </si>
  <si>
    <t>Стиральный порошок</t>
  </si>
  <si>
    <t xml:space="preserve">Бумага </t>
  </si>
  <si>
    <t>Бумага А0</t>
  </si>
  <si>
    <t>Гознак А1 (Ватман)</t>
  </si>
  <si>
    <t xml:space="preserve">Папка архивная </t>
  </si>
  <si>
    <t xml:space="preserve">Папка регистр </t>
  </si>
  <si>
    <t>Sharikli ruchka</t>
  </si>
  <si>
    <t xml:space="preserve">Rigister papkasi JAVON </t>
  </si>
  <si>
    <t>Hujjatlar uchun papka (папка для бумаг) А4</t>
  </si>
  <si>
    <t>Ploter uchun qog'oz</t>
  </si>
  <si>
    <t>Ish yuritish kitobi (Книга канцелярская) 48л, Формат: А4</t>
  </si>
  <si>
    <t xml:space="preserve">O'q qog'oz  format: A4 zichligi 80 г/м² </t>
  </si>
  <si>
    <t xml:space="preserve">O'q qog'oz  format: A3  </t>
  </si>
  <si>
    <t>Qora qalam Tm-2 (простой карандаш Tm-1)</t>
  </si>
  <si>
    <t xml:space="preserve">Rangli qalam (Карандаш цветные) 36 Rangli  </t>
  </si>
  <si>
    <t>Hujjatlar uchun papka (Папка для бумаг) А4</t>
  </si>
  <si>
    <t xml:space="preserve"> клетку 40 листов Деловой журнал</t>
  </si>
  <si>
    <t>Ish jurnali (Деловой журнал) 80 jiltli, format: A4</t>
  </si>
  <si>
    <t>Rigister papkasi JAVON</t>
  </si>
  <si>
    <t>Tez tikar (Скоросшиватель) А4</t>
  </si>
  <si>
    <t>Ватман формат А0 (1200 х 840мм), ГОЗНАК, плотность 200г/м2</t>
  </si>
  <si>
    <t>Milliметрovka A 4</t>
  </si>
  <si>
    <t xml:space="preserve">Папка для бумаг A4 </t>
  </si>
  <si>
    <t xml:space="preserve">Supurgi (Веник сорго) </t>
  </si>
  <si>
    <t>Обложка для переплета</t>
  </si>
  <si>
    <t>Картон для переплета</t>
  </si>
  <si>
    <t>Пружина для переплета</t>
  </si>
  <si>
    <t>Антистеплер</t>
  </si>
  <si>
    <t>quti</t>
  </si>
  <si>
    <t>пач</t>
  </si>
  <si>
    <t>шь.</t>
  </si>
  <si>
    <t xml:space="preserve">Пункт № 2. Постельные принадлежности  </t>
  </si>
  <si>
    <t>Рукавицы рабочие Брезентовые</t>
  </si>
  <si>
    <t>Мыло хозяйственное 72% 320 гр</t>
  </si>
  <si>
    <t>Стиральные порошок</t>
  </si>
  <si>
    <t>Suv idish (30 литрli)</t>
  </si>
  <si>
    <t>Temir chelak (10 литрli)</t>
  </si>
  <si>
    <t>Temir osh tovoq</t>
  </si>
  <si>
    <t>Nikel tog'ora (10 литрli)</t>
  </si>
  <si>
    <t xml:space="preserve">Pichoq </t>
  </si>
  <si>
    <t>Sirli temir choynak (4 литрli)</t>
  </si>
  <si>
    <t>Matras</t>
  </si>
  <si>
    <t>Yostuq (подушка)</t>
  </si>
  <si>
    <t>Ko`rpa (одеяла)</t>
  </si>
  <si>
    <t>Pokrivala</t>
  </si>
  <si>
    <t>Poroshok (порошок)</t>
  </si>
  <si>
    <t xml:space="preserve">Порошок стиральный </t>
  </si>
  <si>
    <t>Порошок стиральный автомат</t>
  </si>
  <si>
    <t>Paxtadan tikilgan matras (Матрас хлопковое сшитое)</t>
  </si>
  <si>
    <t>Xo‘jalik sovuni (Мыло хозяйственное 72% 320 гр)</t>
  </si>
  <si>
    <t>Матрас</t>
  </si>
  <si>
    <t xml:space="preserve">Подушка </t>
  </si>
  <si>
    <t>Одеало</t>
  </si>
  <si>
    <t>Хужалик совуни</t>
  </si>
  <si>
    <t>Жидкое мыло</t>
  </si>
  <si>
    <t>Руковыца (резиновый)</t>
  </si>
  <si>
    <t>Хлор</t>
  </si>
  <si>
    <t>Ведро</t>
  </si>
  <si>
    <t>Тряпка</t>
  </si>
  <si>
    <t>Kir yuvish kukuni (Стиральные порошок) 1,8 кг</t>
  </si>
  <si>
    <t>Xo‘jalik sovuni (Мыло хозяйственное 72% 240 гр)</t>
  </si>
  <si>
    <t>Xlor (Гипохлорит кальция Хлор)</t>
  </si>
  <si>
    <t>Tibbiy qo'lqop (Медицинские перчатки)</t>
  </si>
  <si>
    <t>Kefir (Молочный продукт)</t>
  </si>
  <si>
    <t>Quruq choy (Зелённый чай)</t>
  </si>
  <si>
    <t>Sut maxsuloti (молоко коровье сухое)</t>
  </si>
  <si>
    <t>Ishchilar  maxsus suti    (сухой молоко питьевое)</t>
  </si>
  <si>
    <t>Ichimlik suv 20 l ( вода 20 л)</t>
  </si>
  <si>
    <t>Ichimlik suvi 20 L  (Вода 20 л)</t>
  </si>
  <si>
    <t>Quyultirilgan sut  (Молоко сгущенное 370 гр)</t>
  </si>
  <si>
    <t xml:space="preserve">Un (мука) </t>
  </si>
  <si>
    <t>Choy (чай зеленый)</t>
  </si>
  <si>
    <t xml:space="preserve">Спец. питание сгущен.молоко </t>
  </si>
  <si>
    <t>Молоко сгущенное</t>
  </si>
  <si>
    <t>Quruq sut (Mолоко сухое, обезжиренное.)</t>
  </si>
  <si>
    <t xml:space="preserve">Кефир Свежее </t>
  </si>
  <si>
    <t>Чай зеленый</t>
  </si>
  <si>
    <t>Кулерга сув</t>
  </si>
  <si>
    <t>Кефир Свежий</t>
  </si>
  <si>
    <t>Чай зелённый</t>
  </si>
  <si>
    <t>Сухое молоко</t>
  </si>
  <si>
    <t>Чай зеленный</t>
  </si>
  <si>
    <t xml:space="preserve">Спец. питание Сгущен.молоко </t>
  </si>
  <si>
    <t>Чай</t>
  </si>
  <si>
    <t>Молоко сгущённое</t>
  </si>
  <si>
    <t xml:space="preserve">Toza ichimlik suv </t>
  </si>
  <si>
    <t>Ko‘k choy 1-nav (Чай зеленый 1 сорт)</t>
  </si>
  <si>
    <t>Quyultirilgan sut (молоко без сахара)</t>
  </si>
  <si>
    <t>Toza ichimlik suv (Чистая питьевая вода)</t>
  </si>
  <si>
    <t xml:space="preserve">Пункт № 3. Специальное питание, молочные продукты и чай для работников с тяжелыми
(вредными) условиями труда </t>
  </si>
  <si>
    <t>Metall bo'yoq-kul rang ( Краска для металла-цвет серый)</t>
  </si>
  <si>
    <t>Qum (Песок "метый")</t>
  </si>
  <si>
    <t>Quloqchin perforator uchun (Наушники противошумные)</t>
  </si>
  <si>
    <t>Supurgi (kattasi) (Метла)</t>
  </si>
  <si>
    <t>Supurgi (kichigi) (Веник)</t>
  </si>
  <si>
    <t>Deraza artgich (Универсальная тряпка Делфин)</t>
  </si>
  <si>
    <t>Azilit (Средства для уборки и чистки кухни)</t>
  </si>
  <si>
    <t>Utyonnok (Средства для уборки туалета)</t>
  </si>
  <si>
    <t>Dexlofos (Средства от насекомых)</t>
  </si>
  <si>
    <t>Eshik uchun qulf (Замок для дверей)</t>
  </si>
  <si>
    <t>Polietilen truba  d-25</t>
  </si>
  <si>
    <t>Smesitel dush uchun</t>
  </si>
  <si>
    <t>Kran d-25</t>
  </si>
  <si>
    <t>Otvod  d-25</t>
  </si>
  <si>
    <t>Mufta  d-25</t>
  </si>
  <si>
    <t>Smesitel rakovina uchun</t>
  </si>
  <si>
    <t xml:space="preserve">Podsmesitel </t>
  </si>
  <si>
    <t>Adapter d-25</t>
  </si>
  <si>
    <t>Obratniy klapan d-25</t>
  </si>
  <si>
    <t>Amerikanka nasos uchun</t>
  </si>
  <si>
    <t>Poplavok</t>
  </si>
  <si>
    <t>Polietilen plyonka (ikki qavatli,  eni-2 m)</t>
  </si>
  <si>
    <t>Mix  L-10</t>
  </si>
  <si>
    <t>Mix L-12</t>
  </si>
  <si>
    <t>Sim d-4</t>
  </si>
  <si>
    <t>Temir ruletka (50m)</t>
  </si>
  <si>
    <t>Polietelin plyonka</t>
  </si>
  <si>
    <t>Sapkovoy lopatka</t>
  </si>
  <si>
    <t>Shtikovoy lopatka</t>
  </si>
  <si>
    <t>Mix 120 mm</t>
  </si>
  <si>
    <t>Burama mix 50 mm</t>
  </si>
  <si>
    <t>Gul qog`oz (Обои)</t>
  </si>
  <si>
    <t>Gul qog`oz yelimi</t>
  </si>
  <si>
    <t>Vodoemulsiya</t>
  </si>
  <si>
    <t>Sundirilmagan oxak</t>
  </si>
  <si>
    <t>Oxaklash uchun chyotkalar</t>
  </si>
  <si>
    <t>Oxaklash uchun valik</t>
  </si>
  <si>
    <t>Buyoq uchun valik</t>
  </si>
  <si>
    <t xml:space="preserve"> Kraska-pult   (краскапульт)</t>
  </si>
  <si>
    <t>Narvon (лестница  6-м. металлический)</t>
  </si>
  <si>
    <t>Smisetel dush uchun</t>
  </si>
  <si>
    <t>Smisetel qo`l yuvish uchun</t>
  </si>
  <si>
    <t xml:space="preserve">Ketmon </t>
  </si>
  <si>
    <t xml:space="preserve">Lopatka </t>
  </si>
  <si>
    <t>Tikonli sim (Колючая проволока Спиральный барьер безопасности Егоза,)</t>
  </si>
  <si>
    <t>Oxak      (Известь не гащенный)</t>
  </si>
  <si>
    <t>Burama mix d 50 mm (Саморез )</t>
  </si>
  <si>
    <t>Burama mix d 70 mm (Саморез )</t>
  </si>
  <si>
    <t>Dush kabinasi (душевая кабина)</t>
  </si>
  <si>
    <t>Plastik bochka (пластмасовая бочка 2 тн)</t>
  </si>
  <si>
    <t>Plastik bochka (пластмасовая бочка 1 тн)</t>
  </si>
  <si>
    <t>Профнастил оцинкованный</t>
  </si>
  <si>
    <t>пог.м</t>
  </si>
  <si>
    <t>Лопата штыковая</t>
  </si>
  <si>
    <t>Кирка с ручкой</t>
  </si>
  <si>
    <t>Черенок для лопат</t>
  </si>
  <si>
    <t>Пефофайл</t>
  </si>
  <si>
    <t xml:space="preserve">Саморез 7 см </t>
  </si>
  <si>
    <t>Шпаклёвка (Ички)</t>
  </si>
  <si>
    <t>Канат стальной ГОСТ 103-76</t>
  </si>
  <si>
    <t xml:space="preserve">Краска масленный белего цвета </t>
  </si>
  <si>
    <t>Саморез 6см (прфнастиль учун)</t>
  </si>
  <si>
    <t>Dush/hammom krani (Смеситель для душ/ванну)</t>
  </si>
  <si>
    <t>Qurilish feni (Фен строительный) для линолеума</t>
  </si>
  <si>
    <t>Shlakli blok (Шлакоблок)</t>
  </si>
  <si>
    <t>Муфта американка полипропиленовая</t>
  </si>
  <si>
    <t>Труба полипропиленовая</t>
  </si>
  <si>
    <t>Тройник полипропиленовый</t>
  </si>
  <si>
    <t>Заглушка</t>
  </si>
  <si>
    <t>Отвод полипропиленовый</t>
  </si>
  <si>
    <t>Муфта полипропиленовая</t>
  </si>
  <si>
    <t xml:space="preserve">Тряпка половая </t>
  </si>
  <si>
    <t xml:space="preserve">Тряпка </t>
  </si>
  <si>
    <t>Перчатки резиновые</t>
  </si>
  <si>
    <t>Секатор</t>
  </si>
  <si>
    <t>Ножовка</t>
  </si>
  <si>
    <t>Окномойка</t>
  </si>
  <si>
    <t>Эмаль</t>
  </si>
  <si>
    <t>Замок дверной</t>
  </si>
  <si>
    <t>Веник домашний</t>
  </si>
  <si>
    <t>Метла</t>
  </si>
  <si>
    <t>Хомут-врезка для ПЭ трубы</t>
  </si>
  <si>
    <t>Кисть деревянная</t>
  </si>
  <si>
    <t>Известь не гаш</t>
  </si>
  <si>
    <t>Фонтан для газона</t>
  </si>
  <si>
    <t>Шланг поливной</t>
  </si>
  <si>
    <t>Маклавица</t>
  </si>
  <si>
    <t>половая доска</t>
  </si>
  <si>
    <t>Саморез</t>
  </si>
  <si>
    <t>Шпаклёвка</t>
  </si>
  <si>
    <t>Алебастр</t>
  </si>
  <si>
    <t>Пластиковые трубы</t>
  </si>
  <si>
    <t>краска для автомобиля</t>
  </si>
  <si>
    <t>разбавител</t>
  </si>
  <si>
    <t>эмульция</t>
  </si>
  <si>
    <t>колер</t>
  </si>
  <si>
    <t>Гвоздь</t>
  </si>
  <si>
    <t>охак</t>
  </si>
  <si>
    <t>Шпагат (ип) 33 000 м.</t>
  </si>
  <si>
    <t>кум</t>
  </si>
  <si>
    <t>шагал</t>
  </si>
  <si>
    <t>Водяной шланг</t>
  </si>
  <si>
    <t>шланг полиэтиленовый</t>
  </si>
  <si>
    <t>Металлическое ведро с крышкой на обруче</t>
  </si>
  <si>
    <t>Кирка</t>
  </si>
  <si>
    <t xml:space="preserve">Лопата совковая </t>
  </si>
  <si>
    <t>Кувалдо 2кг</t>
  </si>
  <si>
    <t>Кувалдо 4кг</t>
  </si>
  <si>
    <t>Раковина</t>
  </si>
  <si>
    <t>Смеситель для душа</t>
  </si>
  <si>
    <t>Сгон стальной в сборе ф40</t>
  </si>
  <si>
    <t>Краска для металла синяя</t>
  </si>
  <si>
    <t>Краска для металла серая</t>
  </si>
  <si>
    <t>Краска для металла красная</t>
  </si>
  <si>
    <t>Цемент М-400</t>
  </si>
  <si>
    <t>Набор инструментов Rock FORCE RF-41082-5,108 предметов в кейсе</t>
  </si>
  <si>
    <t xml:space="preserve">Сместитель для раковины </t>
  </si>
  <si>
    <t xml:space="preserve">Сместитель для ванной </t>
  </si>
  <si>
    <t>Сместитеь для кухни</t>
  </si>
  <si>
    <t>Паддон</t>
  </si>
  <si>
    <t>Гвоздый</t>
  </si>
  <si>
    <t xml:space="preserve">Проволка </t>
  </si>
  <si>
    <t>Кровольный саморез</t>
  </si>
  <si>
    <t>Краска (белая)</t>
  </si>
  <si>
    <t>Краска (чёрная))</t>
  </si>
  <si>
    <t>Краска (красная)</t>
  </si>
  <si>
    <t>Краска (синый)</t>
  </si>
  <si>
    <t>Краска (жёлтый)</t>
  </si>
  <si>
    <t>Краска (серый)</t>
  </si>
  <si>
    <t xml:space="preserve">Труба металически </t>
  </si>
  <si>
    <t>Вентиль для вода</t>
  </si>
  <si>
    <t>краска (эмаль)</t>
  </si>
  <si>
    <t xml:space="preserve">смесител </t>
  </si>
  <si>
    <t>Цемент</t>
  </si>
  <si>
    <t>штковой лапата</t>
  </si>
  <si>
    <t>сапкавой</t>
  </si>
  <si>
    <t>кетмон</t>
  </si>
  <si>
    <t>шлакоблок</t>
  </si>
  <si>
    <t>Краска акриловая (белая )</t>
  </si>
  <si>
    <t>Razbavitel (Разбавител)</t>
  </si>
  <si>
    <t>Shurup L-30 mm</t>
  </si>
  <si>
    <t>Shurup L-50 mm</t>
  </si>
  <si>
    <t>Mix L-50</t>
  </si>
  <si>
    <t>Полиэтиленовый целофан (200 mm)</t>
  </si>
  <si>
    <t xml:space="preserve">Линолеум  шир-2,5м., толщ-5мм </t>
  </si>
  <si>
    <t>Boyoq chotkasi 10 sm</t>
  </si>
  <si>
    <t>Burama mix d 40 mm (Саморез )</t>
  </si>
  <si>
    <t>Шпатлевка фасадный</t>
  </si>
  <si>
    <t xml:space="preserve">Rodban </t>
  </si>
  <si>
    <t>Steksetkasi</t>
  </si>
  <si>
    <t xml:space="preserve">Shisha oyna oq 4 mm </t>
  </si>
  <si>
    <t>Stepler mebelniy</t>
  </si>
  <si>
    <t>Yog'och kesuvch arra diski  (Диск пильный по дереву победитовый ф 500х60Тx50 мм)</t>
  </si>
  <si>
    <t xml:space="preserve">Yog'och kesuvch arra diski (Диск пильный по дереву победитовый 250х60Тх32мм) </t>
  </si>
  <si>
    <t>Mexanik qurilish Stapleri (Степлер строительный механический)</t>
  </si>
  <si>
    <t>Qurilish Stapleri uchun skoba (Скобы для строительного степлера)</t>
  </si>
  <si>
    <t>Yog'och kesish uchun qo'l arra (Пила ручная по дереву 500 мм 4TPI)</t>
  </si>
  <si>
    <t>Кабель двойная изоляция алюминевый</t>
  </si>
  <si>
    <t>Замок навесной</t>
  </si>
  <si>
    <t>Коса серп</t>
  </si>
  <si>
    <t xml:space="preserve">Метла </t>
  </si>
  <si>
    <t xml:space="preserve">Веник </t>
  </si>
  <si>
    <t>Винтель бронзовый</t>
  </si>
  <si>
    <t xml:space="preserve">Перчатки хозяйственный </t>
  </si>
  <si>
    <t>Кабель медный многожильный</t>
  </si>
  <si>
    <t>метр.</t>
  </si>
  <si>
    <t xml:space="preserve">Пункт № 4. Строительные и сантехнические инструменты, принадлежности и материалы
 разового применения на общую сумму до 50 БРВ в квартал  </t>
  </si>
  <si>
    <t>произвести проверку пожарных сигнализаций и пульт управления,  заменить негодные пожарных сигнализации и пульты</t>
  </si>
  <si>
    <t xml:space="preserve">na'munalar saqlash omborxonasi (произвести проверку пожарных сигнализаций и пульт управления,  заменить негодные пожарных сигнализации и пульты) </t>
  </si>
  <si>
    <t xml:space="preserve">Колючая проволока </t>
  </si>
  <si>
    <t>Автомат однапорусная 32 А</t>
  </si>
  <si>
    <t>Шит металлическая 30*30*20см</t>
  </si>
  <si>
    <t>Лед панел (Наружной) 18 вт</t>
  </si>
  <si>
    <t>Кабель монтаж учун ПУГНП 2,0 * 2,5 мм</t>
  </si>
  <si>
    <t>Розетка (Ички)</t>
  </si>
  <si>
    <t>Выключатель (Ички)</t>
  </si>
  <si>
    <t>Внешний сетовой кабель с тросом</t>
  </si>
  <si>
    <t>Краска масленный серего цвета, металлическая</t>
  </si>
  <si>
    <t>Краска масленный белего цвета, металлическая</t>
  </si>
  <si>
    <t>Разбавитель</t>
  </si>
  <si>
    <t>Охак</t>
  </si>
  <si>
    <t>усл.ед по техническому обслуживанию систем охранно-пожарной безопасности Лаборатория и АТУ</t>
  </si>
  <si>
    <t>усл.ед</t>
  </si>
  <si>
    <t xml:space="preserve">Yong'in va xavfsizlik tizimlariga texnik усл.ед ko'rsatish  </t>
  </si>
  <si>
    <t>Сместитель для раковины</t>
  </si>
  <si>
    <t>Водяной кран d50мм</t>
  </si>
  <si>
    <t>ремонт  туалета</t>
  </si>
  <si>
    <t>Полиэтилен кувур</t>
  </si>
  <si>
    <t>Коленали қувур</t>
  </si>
  <si>
    <t>Тройник</t>
  </si>
  <si>
    <t xml:space="preserve">Пункт № 5. Услуги на разовое проведение мелкого ремонта производственных помещений  на 
общую сумму до 50 БРВ после согласования со строй управлением. </t>
  </si>
  <si>
    <t xml:space="preserve">Пункт № 6.Принадлежности и материалы для их разового применения, обеспечивающие водо- и газоснабжение  </t>
  </si>
  <si>
    <t>Прессконтроль</t>
  </si>
  <si>
    <t xml:space="preserve">Пускатель ПМА КТИ 5150 150 А </t>
  </si>
  <si>
    <t>Смеситель</t>
  </si>
  <si>
    <t>Ёмкость ПВХ для воды до 2 тн</t>
  </si>
  <si>
    <t>Статический спринклер US412 VAN</t>
  </si>
  <si>
    <t>Смиститель для раковина</t>
  </si>
  <si>
    <t>Смиститель душавой</t>
  </si>
  <si>
    <t>Ёмкость ПВХ для воды до 1 тн</t>
  </si>
  <si>
    <t>Емкость для питьевой воды</t>
  </si>
  <si>
    <t>Труба из сшитого полиетилена</t>
  </si>
  <si>
    <t>Кран шаровый</t>
  </si>
  <si>
    <t>Емкость для воды</t>
  </si>
  <si>
    <t xml:space="preserve">Винтель шаровый </t>
  </si>
  <si>
    <t xml:space="preserve">шланг </t>
  </si>
  <si>
    <t>счетчик для вода</t>
  </si>
  <si>
    <t xml:space="preserve">Ёмкост 500 л, для питевой вода </t>
  </si>
  <si>
    <t>Шланг полиетиленивый д 50</t>
  </si>
  <si>
    <t>Рукава п/этиленовые ф 50 мм</t>
  </si>
  <si>
    <t>Рукава п/этиленовые ф 100 мм</t>
  </si>
  <si>
    <t>Прессконтроль Haitun PC-19 для базы</t>
  </si>
  <si>
    <t>Пластиквая бочка для воды 1м3 для базы</t>
  </si>
  <si>
    <t>Пропиленовая труба d-25мм для базы</t>
  </si>
  <si>
    <t>Трубы полипропиленовые канализационные d-50мм для базы</t>
  </si>
  <si>
    <t>Емкость пластмассовая 1 тонна</t>
  </si>
  <si>
    <t>Suv o`lchagich (счётчик Водомер д 80 электронный)</t>
  </si>
  <si>
    <t xml:space="preserve">проверка электросчетчик </t>
  </si>
  <si>
    <t>проверка трансформатор напряжения НТМИ-6-66</t>
  </si>
  <si>
    <t>поверка трансформатор тока</t>
  </si>
  <si>
    <t>проверка  иэлекторическое перчатка</t>
  </si>
  <si>
    <t>проверка УВН  6-10 Кв</t>
  </si>
  <si>
    <t>проверка М-416</t>
  </si>
  <si>
    <t>проверка мигоомм</t>
  </si>
  <si>
    <t>Мерник</t>
  </si>
  <si>
    <t>Kuchlanish transformatorini qiyoshlash</t>
  </si>
  <si>
    <t xml:space="preserve">Пункт № 7. Приборы учета водоснабжения, потребления электро и газоснабжения,
 их периодическая поверка до 25 БРВ в квартал по данным мологии. </t>
  </si>
  <si>
    <t>Banner texnika xafsizligi</t>
  </si>
  <si>
    <t>Banner (баннер пожарной безопасности)</t>
  </si>
  <si>
    <t>YoMM Tarqatish blankasi (Раздаточная ведомость ГСМ)</t>
  </si>
  <si>
    <t>MM va SX blankalari (Бланки ТБ и ОT)</t>
  </si>
  <si>
    <t>MM va SX jurnali (Журналы ТБ и ОT)</t>
  </si>
  <si>
    <t>Banner mustaqillik bayrami (Баннеры )</t>
  </si>
  <si>
    <t>Бумага для плоттера А0</t>
  </si>
  <si>
    <t>форма №4-п</t>
  </si>
  <si>
    <t>Замки (Эшиклар учун осма қулф)</t>
  </si>
  <si>
    <t>Логотип автомабиля</t>
  </si>
  <si>
    <t>Maxsus ish kiyimini hisobini yuritish uchun shaxsiy varaqa</t>
  </si>
  <si>
    <t>Etiketka</t>
  </si>
  <si>
    <t>Peketajka</t>
  </si>
  <si>
    <t>Банеры и плакаты</t>
  </si>
  <si>
    <t xml:space="preserve">Jurnal
</t>
  </si>
  <si>
    <t xml:space="preserve">agregat jurnali </t>
  </si>
  <si>
    <t>Burg'ilash jurnali</t>
  </si>
  <si>
    <t>Tibbiy daftarcha</t>
  </si>
  <si>
    <t>Сборник сметных норм (ССН)</t>
  </si>
  <si>
    <t>Путевой лист форма 4-п</t>
  </si>
  <si>
    <t>Вахтенный журнал (автокран)</t>
  </si>
  <si>
    <t>Журнал выдачи нарядов (горный)</t>
  </si>
  <si>
    <t xml:space="preserve">Книга учёта прихода и расхода </t>
  </si>
  <si>
    <t>Книга учёта выдачи возврата взрывчатых материалов (Форма-2)</t>
  </si>
  <si>
    <t>banner</t>
  </si>
  <si>
    <t>marshrut varaqasi</t>
  </si>
  <si>
    <t>Mehnat muhofazasi holatini tekshirish jurnali</t>
  </si>
  <si>
    <t xml:space="preserve">ishga   topshiriq berish jurnali </t>
  </si>
  <si>
    <t>Ish joyida instruktajni ro'yxatga olish jurnali</t>
  </si>
  <si>
    <t>Yo'l varaqasi (Бланк путевого листа)</t>
  </si>
  <si>
    <t>Poligrafiya mahsuloti, Burg'ulash jurnali (Полиграфическая продукция, Буровой журнал)</t>
  </si>
  <si>
    <t>Poligrafiya mahsuloti, topshiriqlar jurnali (Полиграфическая продукция, Журнал заданий)</t>
  </si>
  <si>
    <t>Услуга по широкоформатному
печатанию баннеров день конституции для Даугизтау, Кукпатас, Қизилкум.</t>
  </si>
  <si>
    <r>
      <t>м</t>
    </r>
    <r>
      <rPr>
        <sz val="12"/>
        <rFont val="Calibri"/>
        <family val="2"/>
        <charset val="204"/>
      </rPr>
      <t>²</t>
    </r>
  </si>
  <si>
    <t>Изготовление бланков</t>
  </si>
  <si>
    <t>Изготовление журналов</t>
  </si>
  <si>
    <t xml:space="preserve">Пункт № 8. Книги и журналы, плакаты, баннеры, стенды по технике безопасности,  
производственных бланков. </t>
  </si>
  <si>
    <t>Chasha (чаша  форфоровая)</t>
  </si>
  <si>
    <t>Поверка контрольно-измерительных приборов  СВ (средства взрывания) в Государственном стандарте</t>
  </si>
  <si>
    <t>Приборы навигации</t>
  </si>
  <si>
    <t>Тигель низкий</t>
  </si>
  <si>
    <t>Стакан 250</t>
  </si>
  <si>
    <t xml:space="preserve">Пункт № 9. Лабораторная посуда и специальные принадлежности к ней и системам
вентиляции лаборатории. </t>
  </si>
  <si>
    <t xml:space="preserve"> Пункт № 10. Обслуживание и ремонт компьютерной техники</t>
  </si>
  <si>
    <t>Kartrij silindrlarini almashtirish усл.едi (усл.ед по замене цилиндра картриджа)</t>
  </si>
  <si>
    <t>Kartridjni qayta tiklash va to'ldirish усл.едi (усл.ед по заправке и восстановление картриджей)</t>
  </si>
  <si>
    <t>Canon IPF 770 uchun Cartridge (6 xil rangli)</t>
  </si>
  <si>
    <t xml:space="preserve">Canon IPF 770 uchun pechatayushaya golovka     </t>
  </si>
  <si>
    <t>HP Designjet 510 uchun Cartridge (4 xil rangli)</t>
  </si>
  <si>
    <t xml:space="preserve">HP Designjet 510 uchun pechatayushaya golovka      (4 xil rangli) </t>
  </si>
  <si>
    <t xml:space="preserve">Canon IPF 770 uchun pampers                              </t>
  </si>
  <si>
    <t xml:space="preserve">Plotter uchun рулон qog’oz (50 мlik)                               </t>
  </si>
  <si>
    <t xml:space="preserve">Shit (1 m x 0,60 m) </t>
  </si>
  <si>
    <t xml:space="preserve">Shit (0,60 m x 0,40 m)  </t>
  </si>
  <si>
    <t>Puskovoy knopka</t>
  </si>
  <si>
    <t>Puskatel  (25 Amper)</t>
  </si>
  <si>
    <t>Kabel medniy (4 x 4)</t>
  </si>
  <si>
    <t>Kabel medniy (3 x 0,75)</t>
  </si>
  <si>
    <t xml:space="preserve">Megalka </t>
  </si>
  <si>
    <t xml:space="preserve">Printer va kartrijlarga texnik усл.ед ko'rsatish </t>
  </si>
  <si>
    <t xml:space="preserve">усл.ед </t>
  </si>
  <si>
    <t>Toner  FS-1025MF (тонер принтера)</t>
  </si>
  <si>
    <t>Toner canon MF 264dw  (тонер  принтера)</t>
  </si>
  <si>
    <t>Toner (тонер принтера 1005)</t>
  </si>
  <si>
    <t>Toner (тонер принтера 1010)</t>
  </si>
  <si>
    <t>Toner (тонер принтера 1018)</t>
  </si>
  <si>
    <t>Kartridj (Картридж Canon MF 241 d)</t>
  </si>
  <si>
    <t>Kartridj (Картридж HP-500)</t>
  </si>
  <si>
    <t>Pichatli golovka (Печатная головка НР-500</t>
  </si>
  <si>
    <t>Kondisionerlarni ta`mirlash va усл.ед ko`rsatish (Ремонт и обслуживание кондиционеров</t>
  </si>
  <si>
    <t xml:space="preserve">Програмное обеспечение. Практическая бухгалтерия. </t>
  </si>
  <si>
    <t>Програмное обеспечение. Практическое налогообложение</t>
  </si>
  <si>
    <t>Ремонт UPS</t>
  </si>
  <si>
    <t>Монитор Артел 24``</t>
  </si>
  <si>
    <t>Ремонт принтера, заправка картриджа, диагностика и продувка HP и Canon</t>
  </si>
  <si>
    <t>Заправка картриджа 100гр</t>
  </si>
  <si>
    <t>Заправка картриджа 120гр</t>
  </si>
  <si>
    <t>Заправка картриджа 140гр</t>
  </si>
  <si>
    <t xml:space="preserve">Термопленка </t>
  </si>
  <si>
    <t>Резиновый вал</t>
  </si>
  <si>
    <t>Фотобарабан</t>
  </si>
  <si>
    <t>Вал магнитный</t>
  </si>
  <si>
    <t>Вал заряда (Каратрон)</t>
  </si>
  <si>
    <t>Ракель</t>
  </si>
  <si>
    <t>Тонер 1005 для лазерных принтров</t>
  </si>
  <si>
    <t>Тонер для принтер Canon MF 264dw i-Sensys</t>
  </si>
  <si>
    <t>усл.ед по ремонту и техническому обслуживанию систем видеонаблюдени</t>
  </si>
  <si>
    <t xml:space="preserve">Заправка картриджа 1005,1010; </t>
  </si>
  <si>
    <t>усл.ед.</t>
  </si>
  <si>
    <t xml:space="preserve">Замена фотобарабан и магнитный вал 1005,1010; </t>
  </si>
  <si>
    <t>Ремонт Блок питания Aerocool VX 600W PLUS [VX-600 PLUS]</t>
  </si>
  <si>
    <t>Ремонт  принтера</t>
  </si>
  <si>
    <t>Ремонт кондиционер</t>
  </si>
  <si>
    <t>Заправка плоттера Canon iPF-770 синий</t>
  </si>
  <si>
    <t>Заправка плоттера Canon iPF-770 красный</t>
  </si>
  <si>
    <t>Заправка плоттера IPF 770 черный пигментный</t>
  </si>
  <si>
    <t>Обслуживание принтера А3</t>
  </si>
  <si>
    <t>Установка кондиционера</t>
  </si>
  <si>
    <t>ремонт материнская плата</t>
  </si>
  <si>
    <t>Заправка картриджа 1005,1010; замена фотобарабан и магнитный вал</t>
  </si>
  <si>
    <t>ус.ед.</t>
  </si>
  <si>
    <t>Cетовой фильтр</t>
  </si>
  <si>
    <t xml:space="preserve">ремонт принтер </t>
  </si>
  <si>
    <t xml:space="preserve">Заправка  Картридж для плоттера TM-300 </t>
  </si>
  <si>
    <t>к-кт</t>
  </si>
  <si>
    <t>ремонт компьютер</t>
  </si>
  <si>
    <t>ремонт монитор компьютера</t>
  </si>
  <si>
    <t>заправка фреон кондиционер</t>
  </si>
  <si>
    <t>ремонт кондиционер</t>
  </si>
  <si>
    <t>Заправка картриджа 1005,1010; замена</t>
  </si>
  <si>
    <t>ремонт система видеонаблюдения</t>
  </si>
  <si>
    <t>ремонт Фотокамера Сanon</t>
  </si>
  <si>
    <t>установка кондиционер</t>
  </si>
  <si>
    <t>ремонт микроволновка</t>
  </si>
  <si>
    <t>Краска принтера Relillabli, Forust With, BCI-1401, Black BK  260 ml</t>
  </si>
  <si>
    <t>Краска принтера EPSON 673 C</t>
  </si>
  <si>
    <t>Картридж для принтера MF3010</t>
  </si>
  <si>
    <t>Холодильники</t>
  </si>
  <si>
    <t>Картридж для принтера Сanon LBP2900</t>
  </si>
  <si>
    <t>Картридж для принтера PHP1102</t>
  </si>
  <si>
    <t>Картридж для принтера Сanon LBP6010</t>
  </si>
  <si>
    <t>Бумага для плотера "Injet Monchrome Poper 914мм*50м</t>
  </si>
  <si>
    <t>Ватман Гознак</t>
  </si>
  <si>
    <t>Принтер ремонть</t>
  </si>
  <si>
    <t>Котредж</t>
  </si>
  <si>
    <t>ремонт ИБП (UPS)</t>
  </si>
  <si>
    <t xml:space="preserve">ремонт Блок питания </t>
  </si>
  <si>
    <t>Заправка цветная принтера Epson 1455</t>
  </si>
  <si>
    <t>ремонт жесткий диск</t>
  </si>
  <si>
    <t xml:space="preserve">Установка компьютер </t>
  </si>
  <si>
    <t>Картредж Canon 6030</t>
  </si>
  <si>
    <t>Картредж Canon 2900</t>
  </si>
  <si>
    <t>Барабан НР 1010</t>
  </si>
  <si>
    <t>Барабан НР 1005</t>
  </si>
  <si>
    <t>Магнит вал НР 1010</t>
  </si>
  <si>
    <t>Рез вал НР 1005</t>
  </si>
  <si>
    <t>Рез вал НР 1010</t>
  </si>
  <si>
    <t>Ракель НР 1010</t>
  </si>
  <si>
    <t>Ракель НР 1005</t>
  </si>
  <si>
    <t xml:space="preserve">HP 1005 printeri uchun toner </t>
  </si>
  <si>
    <t xml:space="preserve">LG 1010 printeri uchun toner </t>
  </si>
  <si>
    <t xml:space="preserve">Цветная краска 4 цветом 500мл для плотара </t>
  </si>
  <si>
    <t xml:space="preserve">Тонер универсал </t>
  </si>
  <si>
    <t>Printerni ta'mirlash (Pемонт принтер canon mf 264dw замена картридж, магнитного вала, и.т.д)</t>
  </si>
  <si>
    <t>Printerni ta'mirlash (Pемонт принтер canon i-sensys MF 3010 замена картридж, магнитного вала, и.т.д)</t>
  </si>
  <si>
    <t>Universal toner (Тонер универсал )</t>
  </si>
  <si>
    <t>Lazer printerlari uchun 1005 toneri  (Тонер 1005 для лазерных принтров)</t>
  </si>
  <si>
    <t>Canon MF 264dw i-Sensys  printerlari uchun toner (Тонер для принтер Canon MF 264dw i-Sensys)</t>
  </si>
  <si>
    <t xml:space="preserve">Пункт № 11. Газовые баллоны и технические газы для лабораторных и производственных
 нужд (аргон, ацетилен, пропан, кислород, гелий и др.). </t>
  </si>
  <si>
    <t>Kislorod mexaniklarga svarka uchun</t>
  </si>
  <si>
    <t>Texnik kislorod  (тех.кислород 1-баллон 6-м3)</t>
  </si>
  <si>
    <t xml:space="preserve">Kislorod ballonlarni to`ldirish (Заправки кислород баллоны) </t>
  </si>
  <si>
    <t>Газовые баллоны 40 л с редуктором</t>
  </si>
  <si>
    <t>кт</t>
  </si>
  <si>
    <t xml:space="preserve"> Заправка кислорода технического</t>
  </si>
  <si>
    <t>Газовый баллон</t>
  </si>
  <si>
    <t>Газаанализатор перенасной</t>
  </si>
  <si>
    <t>Аргоновый балон</t>
  </si>
  <si>
    <t>Kislorod</t>
  </si>
  <si>
    <t>пропан</t>
  </si>
  <si>
    <t>Kislorod механиком для сварки</t>
  </si>
  <si>
    <t xml:space="preserve">Texnik kislorod (Заправка кислорода технического) </t>
  </si>
  <si>
    <r>
      <t>м</t>
    </r>
    <r>
      <rPr>
        <sz val="12"/>
        <rFont val="Calibri"/>
        <family val="2"/>
        <charset val="204"/>
      </rPr>
      <t>³</t>
    </r>
  </si>
  <si>
    <t>Пропановый балон</t>
  </si>
  <si>
    <t>Кислород газообразный  ТУ УЗ. Сз.69-99</t>
  </si>
  <si>
    <t xml:space="preserve">Пункт № 13. Услуги связи, интернета и телерадиовещания </t>
  </si>
  <si>
    <t>Telefon (Uzmobile) ВМ сакланадиган жойга</t>
  </si>
  <si>
    <t>Точка доступа Ubiquiti Unifi 6 PRO с PoE</t>
  </si>
  <si>
    <t xml:space="preserve">Пункт № 18. Услуги по обучению (переподготовке) работников по специальным видам работ,  </t>
  </si>
  <si>
    <t>Ishchilarni tibbiy ko'rikdan o'tkazish</t>
  </si>
  <si>
    <t>Ishcilarni medisina ko'rigidan o'tkazish (провидения медосмотр работников)</t>
  </si>
  <si>
    <t>Медицинского осмотра работников</t>
  </si>
  <si>
    <t>Мед осмотр</t>
  </si>
  <si>
    <t>Дизенфекция</t>
  </si>
  <si>
    <t>кв.м.</t>
  </si>
  <si>
    <t>Мед. Осмотр</t>
  </si>
  <si>
    <t xml:space="preserve">Иш ўринларини шаходатлаш </t>
  </si>
  <si>
    <t xml:space="preserve">Юқори кучланишли хаво линияларини ва химоя воситаларини навбатдаги лабаратория  синовидан ўтказиш </t>
  </si>
  <si>
    <t>Медицинский осмотр работников</t>
  </si>
  <si>
    <t xml:space="preserve"> Медицинского осмотра работников</t>
  </si>
  <si>
    <t xml:space="preserve"> Xodimlarni ish joylarini shaxodat ko'rigidan otkazish </t>
  </si>
  <si>
    <t xml:space="preserve">Ishchi-xodimlarning tibbiy ko'rikdan o'tkazish (проф. осмотр работников) </t>
  </si>
  <si>
    <t xml:space="preserve"> Пункт № 20. Приобретение и обслуживание пожарного инвентаря и приспособлений. Химическая обработка,</t>
  </si>
  <si>
    <t>Yong'in xavfsizligi vositalari va усл.едlaridan foydalanish</t>
  </si>
  <si>
    <t>O't  o'chirish vositasi (огнетушитель ОП-3)</t>
  </si>
  <si>
    <t>O't  o'chirish vositasi (огнетушитель ОП-10)</t>
  </si>
  <si>
    <t>O't  o'chirish vositasi (огнетушитель ОП-20)</t>
  </si>
  <si>
    <t>Yog`och konstruksiyalarga kimyoviy ishlov berish (Химическая обработка)</t>
  </si>
  <si>
    <t>Himoya qalqoni  (пожарный  щит)</t>
  </si>
  <si>
    <t>O't  o'chirish vositasi (перезарядка огнетушители ОП-1)</t>
  </si>
  <si>
    <t>O't  o'chirish vositasi (перезарядка огнетушители ОП-2)</t>
  </si>
  <si>
    <t>O't  o'chirish vositasi (перезарядка огнетушители ОП-5,4)</t>
  </si>
  <si>
    <t>O't  o'chirish vositasi (перезарядка огнетушители ОП-10)</t>
  </si>
  <si>
    <t xml:space="preserve">O't  o'chirish vositasi (перезарядка огнетушитель ОУ-5) </t>
  </si>
  <si>
    <t>Огнезащитная обработка деревянных конструкций</t>
  </si>
  <si>
    <t>Перезарядка огнетушителя ОП-1</t>
  </si>
  <si>
    <t>Перезарядка огнетушителя ОП-2;3</t>
  </si>
  <si>
    <t>Перезарядка огнетушителя ОП-4;5</t>
  </si>
  <si>
    <t>Перезарядка огнетушителя ОП-8-10</t>
  </si>
  <si>
    <t>Перезарядка огнетушителя ОУ-3;5</t>
  </si>
  <si>
    <t xml:space="preserve">Замена маномеров </t>
  </si>
  <si>
    <t>Замена раструда и шланга ОП</t>
  </si>
  <si>
    <t>Замена клапана на порощковых огнетушителях</t>
  </si>
  <si>
    <t>Покраска огнетушителя</t>
  </si>
  <si>
    <t>Замена клапана углекислотного огнетушителя</t>
  </si>
  <si>
    <t>Огнезащитная обработка деревянных конструкций составом (птл-сдн)</t>
  </si>
  <si>
    <t>усл.ед по перезарядке огнетушителей ОП-3</t>
  </si>
  <si>
    <t>усл.ед по перезарядке огнетушителей ОП-5</t>
  </si>
  <si>
    <t xml:space="preserve"> усл.ед по перезарядке огнетушителей ОУ-2</t>
  </si>
  <si>
    <t>усл.ед по перезарядке огнетушителей ОУ-5</t>
  </si>
  <si>
    <t>перезарядка ремонт огнетушителей ОУ-5</t>
  </si>
  <si>
    <t>перезарядка ремонт огнетушителей ОП-2</t>
  </si>
  <si>
    <t>перезарядка ремонт огнетушителей ОУ-2</t>
  </si>
  <si>
    <t>перезарядка ремонт огнетушителей ОП-5</t>
  </si>
  <si>
    <t>лом</t>
  </si>
  <si>
    <t>багор</t>
  </si>
  <si>
    <t>ведро</t>
  </si>
  <si>
    <t>перезарядка ремонт огнетушителей</t>
  </si>
  <si>
    <t>лопата штковая</t>
  </si>
  <si>
    <t>лопата сапкавая</t>
  </si>
  <si>
    <t>Ёнғинга қарши кимёвий ишлов бериш</t>
  </si>
  <si>
    <t>Ёнгин учириш балони кайта зарядлаш</t>
  </si>
  <si>
    <t>Химическая обработка стеллажей склада ВМ</t>
  </si>
  <si>
    <t xml:space="preserve">Перезарядка огнетушителей </t>
  </si>
  <si>
    <t xml:space="preserve"> усл.ед по перезарядке огнетушителей   ОП-3</t>
  </si>
  <si>
    <t>усл.ед по перезарядке огнетушителей   ОУ-5</t>
  </si>
  <si>
    <t>Rezes tokarniy podreznoy 16x25x130</t>
  </si>
  <si>
    <t>Rezes tokarniy proxodnoy otognutiy 25x16x130</t>
  </si>
  <si>
    <t>Rezes tokarniy proxodnoy  25x16x130</t>
  </si>
  <si>
    <t>Rezes tokarniy otreznoy  25x16x130</t>
  </si>
  <si>
    <t>Rezes tokarniy narujniy rezbovoy  25x16x130</t>
  </si>
  <si>
    <t>Rezes tokarniy vnutrenniy rezbovoy  32x45x190</t>
  </si>
  <si>
    <t>Rezes tokarniy rastochniy  32x45x190</t>
  </si>
  <si>
    <t>Rezes tokarniy rastochniy dlya gluxix otverstiy  32x45x190</t>
  </si>
  <si>
    <t>Yunish  rezesi   (расточный  резец)</t>
  </si>
  <si>
    <t>Kesish  rezesi   (подрезной  резец)</t>
  </si>
  <si>
    <t>O'tuvchi  rezesi  (проходной  резец)</t>
  </si>
  <si>
    <t>Ichki rezbali  rezesi   (внут.резбавой резец)</t>
  </si>
  <si>
    <t>Tashqi rezbali  rezesi  (наруж.резбавой резец)</t>
  </si>
  <si>
    <t>Kesuvchi  rezesi   (отрезной  резец)</t>
  </si>
  <si>
    <t>Aylanali  kesgich (круг  отрезной)</t>
  </si>
  <si>
    <t>Elektrod UONI 4 mm (Электрод УОНИ 4 мм)</t>
  </si>
  <si>
    <t>Kislorod shlangi (рукава кислородная д 12х6 тол.4 мм</t>
  </si>
  <si>
    <t>Штангенциркуль 0-125 мм</t>
  </si>
  <si>
    <t>Штангенциркуль 0-250 мм</t>
  </si>
  <si>
    <t>Набор напильников</t>
  </si>
  <si>
    <t>Плоскогубцы 200 мм</t>
  </si>
  <si>
    <t>Электрод переменного тока ф 2-3 мм</t>
  </si>
  <si>
    <t>Зажим полукруглым захватом с фиксатором 300 мм</t>
  </si>
  <si>
    <t xml:space="preserve"> Круг отрезной по металлу 180 х 2,5 х 22,2 мм </t>
  </si>
  <si>
    <t>Электрод сварочный 13/55 d-4 мм</t>
  </si>
  <si>
    <t xml:space="preserve">Круг отрезной по металлу 180 х 2,5 х 22,2 мм </t>
  </si>
  <si>
    <t>Metall kesish disk (Круг отрезной по металлу 180 х 2,5 х 22,2 мм )</t>
  </si>
  <si>
    <t>Пильный диск по дереву</t>
  </si>
  <si>
    <t>Набор инструментов 41421R 142 предмета</t>
  </si>
  <si>
    <t>Круг отрезной GREATFLEX</t>
  </si>
  <si>
    <t>Резиновая смесь В-14</t>
  </si>
  <si>
    <t>Резак пропановый</t>
  </si>
  <si>
    <t>Рукава резиновые для газовой сварки и резки металлов</t>
  </si>
  <si>
    <t>Ремень крепежный для стяжки груза</t>
  </si>
  <si>
    <t>камен отрезной</t>
  </si>
  <si>
    <t>кристовина</t>
  </si>
  <si>
    <t>Болванка кругляк (черный  металл) Токарний станок учун</t>
  </si>
  <si>
    <t>напайка  Т5К10 Токарний станок учун</t>
  </si>
  <si>
    <t>резец Т5К10 Токарний станок учун</t>
  </si>
  <si>
    <t>резец  с напайком Т5К10</t>
  </si>
  <si>
    <t>Круг стальной</t>
  </si>
  <si>
    <t xml:space="preserve">тиски </t>
  </si>
  <si>
    <t>Резец проходной 25*16*130 т5х10</t>
  </si>
  <si>
    <t>Резец резбовой 25*16*130 т5х10</t>
  </si>
  <si>
    <t>Резец отрезной 25*16*130 т5х10</t>
  </si>
  <si>
    <t>Резец подрезной</t>
  </si>
  <si>
    <t>Резец внутренный резбовой 32*45*190 т 5х10</t>
  </si>
  <si>
    <t xml:space="preserve">Круг шливовальные </t>
  </si>
  <si>
    <t>сверло</t>
  </si>
  <si>
    <t>Метчик твердосплавный от М6 до М50</t>
  </si>
  <si>
    <t>Сверло по металлу от 6мм до 50мм</t>
  </si>
  <si>
    <t xml:space="preserve">Съёмник подшипников трёхлапый </t>
  </si>
  <si>
    <t>Токарный победит ИК-8</t>
  </si>
  <si>
    <t>Токарный резец</t>
  </si>
  <si>
    <t>Винтель d25мм</t>
  </si>
  <si>
    <t>Резец токарный проходной</t>
  </si>
  <si>
    <t>Резец токарный отрезной</t>
  </si>
  <si>
    <t>Резец токарный расточной</t>
  </si>
  <si>
    <t>набор ключи</t>
  </si>
  <si>
    <t xml:space="preserve">патрон </t>
  </si>
  <si>
    <t>плашка</t>
  </si>
  <si>
    <t>Сверло Ø6,0 мм ц/хв</t>
  </si>
  <si>
    <t>Сверло Ø8 мм ц/хв</t>
  </si>
  <si>
    <t>Сверло Ø10,0 мм ц/хв</t>
  </si>
  <si>
    <t>Сверло Ø12,0 мм ц/хв</t>
  </si>
  <si>
    <t>Сверло Ø13,0 мм ц/хв</t>
  </si>
  <si>
    <t>Сверло Ø14,5 мм к/хв</t>
  </si>
  <si>
    <t>Сверло Ø16,5 мм к/хв</t>
  </si>
  <si>
    <t>Сверло Ø20,5 мм к/хв</t>
  </si>
  <si>
    <t>Сверло Ø22,0 мм к/хв</t>
  </si>
  <si>
    <t>Сверло Ø24,0 мм к/хв</t>
  </si>
  <si>
    <t>Метчики гаечные с прям. хвост.</t>
  </si>
  <si>
    <t>Рукава резиновые кислородные (III-9-2,0)</t>
  </si>
  <si>
    <t xml:space="preserve">      Электрод УОНИ 13/55dm д-4 мм</t>
  </si>
  <si>
    <t>Резаки инжекторные для ручной кислородной резки тип Р1А Р1П</t>
  </si>
  <si>
    <t>Kомплект  экстрактов для выкручивания болтов</t>
  </si>
  <si>
    <t>Набор  экстрактов для гаек</t>
  </si>
  <si>
    <t xml:space="preserve"> Электрод UONI 13/55dm д=4мм</t>
  </si>
  <si>
    <t>Газовый ключ</t>
  </si>
  <si>
    <t>Твёрдый сплав (победит) Марка ВК8</t>
  </si>
  <si>
    <t xml:space="preserve">Пункт № 21. Ремонтно-механический инструмент (круги шлифовальные, резцы, напайки, сверла) 
разового применения </t>
  </si>
  <si>
    <t>Lampochka (Лампочка)</t>
  </si>
  <si>
    <t>Elektr uzatgich 3 мli (Удлинитель электрический 3 мов)</t>
  </si>
  <si>
    <t xml:space="preserve">Izolenta (Изолента ПВХ) </t>
  </si>
  <si>
    <t>Izolenta    PVX</t>
  </si>
  <si>
    <t>LED lapochka 9 W</t>
  </si>
  <si>
    <t>LED lapochka 15 W</t>
  </si>
  <si>
    <t>Projektor  50 W</t>
  </si>
  <si>
    <t>Projektor LED (Прожектор сольничный 130 W )</t>
  </si>
  <si>
    <t xml:space="preserve">Montaj simi 2х2,5 (Монтажный провод 2х2,5) </t>
  </si>
  <si>
    <t>500</t>
  </si>
  <si>
    <t>Avtomat 400 A (Автомат 400 А  ВА 88-33 3Р)</t>
  </si>
  <si>
    <t>Kontaktor KTI-7630 (Контактор 400 А КТИ-7630 380 В/АС3</t>
  </si>
  <si>
    <t>Amperм Voltм P-99-M6-3(Амперм Вольтм Р-99-М6-3 цифровой)</t>
  </si>
  <si>
    <t>Tarozi 30кг</t>
  </si>
  <si>
    <t>Электрическая плита (Eketr plita )</t>
  </si>
  <si>
    <t>Puskatel  100 A  380 v (пускатель)</t>
  </si>
  <si>
    <t>Elektr xisoblagich 100 А 380 V  (электросчётчик)</t>
  </si>
  <si>
    <t>Svetodiotnoy lenta  (Светодиотной лента)</t>
  </si>
  <si>
    <t>Розетка наружная</t>
  </si>
  <si>
    <t>Выключатель наружный однаклав.</t>
  </si>
  <si>
    <t>Реле времени OMRON LY4N 240V AC (14 контактный)</t>
  </si>
  <si>
    <t>Кабель СИП провод 4*16</t>
  </si>
  <si>
    <t>Пускатель магнитный ПМА 63А</t>
  </si>
  <si>
    <t>Плита эликтрическая 2х конфорная</t>
  </si>
  <si>
    <t>Реле защиты УЗО 100А 3хфазный</t>
  </si>
  <si>
    <t>Пускатель магнитный КТI 150A</t>
  </si>
  <si>
    <t>Пускатель магнитный PML 100A</t>
  </si>
  <si>
    <t>Шит  металлические 40*30*20</t>
  </si>
  <si>
    <t>Шит  металлические (герметичный) 30*30*20</t>
  </si>
  <si>
    <t>Реле XJ-3</t>
  </si>
  <si>
    <t>Лампа LED 15в</t>
  </si>
  <si>
    <t>Патрон</t>
  </si>
  <si>
    <t>Розетка внутренная</t>
  </si>
  <si>
    <t xml:space="preserve">Пускатель электромагнитный ПМЛ-6100 УХЛ4 Б 220В/50Гц 1з 160А </t>
  </si>
  <si>
    <t>Лампа светодиодная LED 15 W Е27</t>
  </si>
  <si>
    <t xml:space="preserve">Дополнительная квадратная светодиодная фара 30 Ватт 24V Вольта </t>
  </si>
  <si>
    <t>Прожектор светодиодный 220V(Вольта) -200 Вт)</t>
  </si>
  <si>
    <t>Светильник светодиодный LED IP20 36W 6500K 1209х75х25 мм</t>
  </si>
  <si>
    <t>Дополнительная квадратная светодиодная фара 30 Ватт 24V Вольта</t>
  </si>
  <si>
    <t xml:space="preserve"> Elektr hisoblagich (Cчетчик электроэнергии TE73 SG-1-0 )</t>
  </si>
  <si>
    <t>Chiroqni yoqish uchun harakat sensorlari (Датчики движения для включения света)</t>
  </si>
  <si>
    <t>Fotoreley (Фотореле)</t>
  </si>
  <si>
    <t>Автомат выключатель</t>
  </si>
  <si>
    <t>Лампочки LED</t>
  </si>
  <si>
    <t>Пускатель 40А</t>
  </si>
  <si>
    <t>Пускатель 100А</t>
  </si>
  <si>
    <t>Ограничетель перенапряжения</t>
  </si>
  <si>
    <t>Кабель медный 2*2,5</t>
  </si>
  <si>
    <t>Пускатель NS2-80B 40А-63А </t>
  </si>
  <si>
    <t>Светодиодный прожектор 24В</t>
  </si>
  <si>
    <t>Провод ПВС 2х2,5</t>
  </si>
  <si>
    <t>m</t>
  </si>
  <si>
    <t>Розетка наружная с заземлением 16 А</t>
  </si>
  <si>
    <t>Выключатель одноклавишный для открытой установки, 250В, 10А, STEKKER PSW10-111-54</t>
  </si>
  <si>
    <t xml:space="preserve">Пускатель </t>
  </si>
  <si>
    <t xml:space="preserve">Блок питания </t>
  </si>
  <si>
    <t xml:space="preserve">
ТРАНСФОРМАТОР ТОКА ТВЛМ-6 50/5</t>
  </si>
  <si>
    <t xml:space="preserve">Магнитный контактор HGC400 22NS F220 </t>
  </si>
  <si>
    <t xml:space="preserve">Магнитный контактор HGC225 22NS F220 </t>
  </si>
  <si>
    <t xml:space="preserve">Розетка </t>
  </si>
  <si>
    <t>Автомат 32А</t>
  </si>
  <si>
    <t>Выключател</t>
  </si>
  <si>
    <t>Изалятор 10 праходной</t>
  </si>
  <si>
    <t>Лампа светодиодная Е27  18 вт</t>
  </si>
  <si>
    <t>Наконечник медный 50,35,25 мм</t>
  </si>
  <si>
    <t>Наконечник алюмин. 70,35,25 мм</t>
  </si>
  <si>
    <t>Автомат АП 50 50 Ампер</t>
  </si>
  <si>
    <t>Автомат 400 Ампер</t>
  </si>
  <si>
    <t>Контактор КТ 160 А, 380 В</t>
  </si>
  <si>
    <t>Контакт медный АРП 4,5</t>
  </si>
  <si>
    <t>Изолятор 10 проходной</t>
  </si>
  <si>
    <t>Солнечная лампа  - ABS 150 Вт</t>
  </si>
  <si>
    <t>Пускатель 160А 220V</t>
  </si>
  <si>
    <t>Пускатель 100А 380V</t>
  </si>
  <si>
    <t>Автомат 250А 380V</t>
  </si>
  <si>
    <t>Автомат 160А 380V</t>
  </si>
  <si>
    <t>Ценсорный датчик 1200W</t>
  </si>
  <si>
    <t>Лампа LED 15W</t>
  </si>
  <si>
    <t>Прожектор Prime LED GQ 24V</t>
  </si>
  <si>
    <t>Прожектор Prime LED GQ 100V</t>
  </si>
  <si>
    <t xml:space="preserve">Кабел PUGNP 2*2,5 мм  </t>
  </si>
  <si>
    <t xml:space="preserve">Наконечник медний ТМ 50 </t>
  </si>
  <si>
    <t>Наконечник медний ТМ 35</t>
  </si>
  <si>
    <t>Контактор NXC-330  330A 220В/АС3 2НО+2Н3 50 Гц (R) (CHINT)</t>
  </si>
  <si>
    <t>Магнитный пускатель ЕКF КМЭ 25А катушка управления 220В РС малогабаритный</t>
  </si>
  <si>
    <t>Пускатель ПМ 12-125150-125А-380В (2д+2р) УХЛ4-В</t>
  </si>
  <si>
    <t>Наконечник медный Prime  DT-70-12-11ТМ</t>
  </si>
  <si>
    <t>Провод ПВС 2х4</t>
  </si>
  <si>
    <t>Автоматический выключатель ELM1-400M-3П 400А</t>
  </si>
  <si>
    <t>Трансформатор тока</t>
  </si>
  <si>
    <t>Кабель ПВС 4*10</t>
  </si>
  <si>
    <t>прожектор солнечный</t>
  </si>
  <si>
    <t>прожектор светодиодный</t>
  </si>
  <si>
    <t>Лампа светодиодный</t>
  </si>
  <si>
    <t>ПУСКАТЕЛИ ЭЛЕКТРОМАГНИТНЫЕ</t>
  </si>
  <si>
    <t>АВТОМАТИЧЕСКИЙ ВЫКЛЮЧАТЕЛЬ</t>
  </si>
  <si>
    <t>Датчик движения ДД-01 настенный</t>
  </si>
  <si>
    <t>Лампа светодиодная LED 12W 100-240V 6500K VERA</t>
  </si>
  <si>
    <t>Провод ПУГНП 2Х2,5</t>
  </si>
  <si>
    <t>Изолента 0,13х15 мм желтая 20 мов ИЭК</t>
  </si>
  <si>
    <t>Кабель ПУГНП 2х2,5</t>
  </si>
  <si>
    <t>Провод ПУГНП 3х2,5</t>
  </si>
  <si>
    <t xml:space="preserve"> Светодиодный солнечный прожектор 150 ВТ</t>
  </si>
  <si>
    <t>Цифровой вольтамперм EM-06 на DIN трехфазный</t>
  </si>
  <si>
    <t>Счётчик электроэнергии трёхфазный TE73 SG-2 - 3</t>
  </si>
  <si>
    <t>LED chiziqlar (Светодиодные ленты Yase YL-38,5050/96D-12mm, цвет белый)</t>
  </si>
  <si>
    <t>Aylanma nasos (Циркуляционный насос EPA ESN32-8-180-1)</t>
  </si>
  <si>
    <t>Aylanma nasos (Насос циркуляционный EPA ESN50-12-280)</t>
  </si>
  <si>
    <t>Provod PUGNP (Провод ПУГНП 2х2,5)</t>
  </si>
  <si>
    <t>Puskatel (Пускатель ПМЛ-4160.УХЛ4Б)</t>
  </si>
  <si>
    <t>Puskatel (Пускатель электромагнитный ПМЛ-3160М 230В)</t>
  </si>
  <si>
    <t>PVX izolyatsion lenta (Изолента ПХВ)</t>
  </si>
  <si>
    <t>Mis kabel ushlagichi (Наконечник кабельный медный ТМ 50)</t>
  </si>
  <si>
    <t>Mis kabel ushlagichi (Наконечник кабельный медный ТМ 35)</t>
  </si>
  <si>
    <t>Трансформатор Тока 300/5 в</t>
  </si>
  <si>
    <t>LED chiroq (Лампа светодиодная LED 15 W Е27)</t>
  </si>
  <si>
    <t>Rozetka (Розетка 2 местная с з/к 16А )</t>
  </si>
  <si>
    <t>Fotorele FR 600 (Фотореле ФР 600)</t>
  </si>
  <si>
    <t>Прожектор светодиодный 100W SLIM</t>
  </si>
  <si>
    <t>Светодиодный прожектор 50 Вт (12, 24, 36 Вольт постоянка.)</t>
  </si>
  <si>
    <t>Пункт № 22. Электрическое оборудование и аппараты разового применения</t>
  </si>
  <si>
    <t>Пункт № 23. Химические реактивы, материалы и запасные части (реактивы имеющие малый от 0,5 до 20 кг,  на 
общую сумму до 50 БРВ в квартал</t>
  </si>
  <si>
    <t>Nabivka ip (Набивка д=16 )</t>
  </si>
  <si>
    <t>Disk (yog'och kesuvchi arra uchun)</t>
  </si>
  <si>
    <t>Termopara TXA (Термопара лабораторный )</t>
  </si>
  <si>
    <t xml:space="preserve">Datchik (Датчик термопары для Лабораториный муфелная печи) </t>
  </si>
  <si>
    <t>Мука пшеничная 1 сорт</t>
  </si>
  <si>
    <t>Ремень клиновой А (А)-1700 L</t>
  </si>
  <si>
    <t>Ремень клиновой В(Б)-3550 L</t>
  </si>
  <si>
    <t>Bolty s gaykami (Болты с гайками 8.8 М12х4,5 размер под ключ 19 мм)</t>
  </si>
  <si>
    <t>Барий хлористый</t>
  </si>
  <si>
    <t>Фильтрованная бумага</t>
  </si>
  <si>
    <t>Аммоний молибденокислый ХЧ</t>
  </si>
  <si>
    <t>Аммоний ваннадиевокислый ХЧ</t>
  </si>
  <si>
    <t>Титан хлористый ХЧ</t>
  </si>
  <si>
    <t>Сахароза ХЧ</t>
  </si>
  <si>
    <t>Аскорбиновая кислота</t>
  </si>
  <si>
    <t>Желатин</t>
  </si>
  <si>
    <t>Крахмал</t>
  </si>
  <si>
    <t>Спирт этиловый 95</t>
  </si>
  <si>
    <t>Мука пшеничная 1-сорт</t>
  </si>
  <si>
    <t>Графитовый электрод д-6 мм</t>
  </si>
  <si>
    <t>Plastik suv idishi (Пластиковая емкость для воды 2000 л)</t>
  </si>
  <si>
    <t>Роликовая цепь ПР-19,05-31,8 264 зв. (5,029 м) ГОСТ 13568-97</t>
  </si>
  <si>
    <t>Звездочка цепная z=22; t=19.05 / Венец звезды 22 зуба, шаг 19.05 (12А-1)</t>
  </si>
  <si>
    <t>Звездочка цепная z=56; t=19.05 / Венец звезды 56 зубов, шаг 19.05 (12А-1)</t>
  </si>
  <si>
    <t>Ремень клиновой В(Б)-1900</t>
  </si>
  <si>
    <t>Преобразователи термоэлектрические ДТПS145-0019.L 1000 D = 12 мм D1 = 20 мм изолированный</t>
  </si>
  <si>
    <t xml:space="preserve">Винная кислота ХЧ </t>
  </si>
  <si>
    <t>Калий роданистый ХЧ</t>
  </si>
  <si>
    <t>Уротропин ХЧ</t>
  </si>
  <si>
    <t xml:space="preserve"> Пункт № 24. Услуги по проведению текущего и среднего ремонта оборудования   на общую сумму до 100 БРВ в квартал.</t>
  </si>
  <si>
    <t>Ekspeditsiya obyektlarida mavjud elektr uskuna va kabel liniyalarini sinovdan o'tkazish</t>
  </si>
  <si>
    <t>Blok pitaniyani ta`mirlash (произвисти ремонт блок питания)</t>
  </si>
  <si>
    <t>Rimin (ремень 1700 профил А)</t>
  </si>
  <si>
    <t>Rimin (ремень 1800 профил А)</t>
  </si>
  <si>
    <t>Rimin (ремень 1900 профил А)</t>
  </si>
  <si>
    <t>Podshipnik (подшипник 205 шариковый)</t>
  </si>
  <si>
    <t>Podshipnik (подшипник 305 шариковый)</t>
  </si>
  <si>
    <t>Podshipnik (подшипник 308 шариковый)</t>
  </si>
  <si>
    <t>Podshipnik (подшипник 3608 шариковый)</t>
  </si>
  <si>
    <t>усл.ед по замене рукавов РВД со штуцерами    ф 38 мм L-10 м.</t>
  </si>
  <si>
    <t>усл.ед по замене рукавов РВД   со штуцерами ф 32 мм L-10 м.</t>
  </si>
  <si>
    <t>усл.ед  по замене манжетов  на установке Ханжин</t>
  </si>
  <si>
    <t>усл.ед по замене сальника ф-8 мм</t>
  </si>
  <si>
    <t>усл.ед по замене сальника ф-9 мм</t>
  </si>
  <si>
    <t>Электроматор 1,1-кВт  3 фаза</t>
  </si>
  <si>
    <t>Подшипник 50310-6310N</t>
  </si>
  <si>
    <t>Подшипник 50310-6312N</t>
  </si>
  <si>
    <t>Подшипник 46226/722АС</t>
  </si>
  <si>
    <t>Подшипник 132/6032</t>
  </si>
  <si>
    <t>Подшибник 226/6226</t>
  </si>
  <si>
    <t>Подшибник 207/6207</t>
  </si>
  <si>
    <t>Подшибник 51110-8110</t>
  </si>
  <si>
    <t>Подшибник 6207/207</t>
  </si>
  <si>
    <t>Подшибник 32020/2007120</t>
  </si>
  <si>
    <t>Подшибник 32028/2007128</t>
  </si>
  <si>
    <t>Подшибник 27714</t>
  </si>
  <si>
    <t>Подшибник 333113-3007713</t>
  </si>
  <si>
    <t>Подшибник 53611/22311сс</t>
  </si>
  <si>
    <t>Подшибник 410</t>
  </si>
  <si>
    <t>Подшибник 2226/226</t>
  </si>
  <si>
    <t>Подшибник 7514 А</t>
  </si>
  <si>
    <t>Подшибник 7616/32316</t>
  </si>
  <si>
    <t>Подшибник 6306/306</t>
  </si>
  <si>
    <t>Подшибник 7511</t>
  </si>
  <si>
    <t>Подшибник 30228</t>
  </si>
  <si>
    <t>Подшибник 30226</t>
  </si>
  <si>
    <t>Манжет 60*80*10</t>
  </si>
  <si>
    <t>Манжет 160*190*14</t>
  </si>
  <si>
    <t>Манжет 120*150*12</t>
  </si>
  <si>
    <t>Подшибник 5210</t>
  </si>
  <si>
    <t>Подшибник 5311</t>
  </si>
  <si>
    <t>Манжет 110*70*12</t>
  </si>
  <si>
    <t>Подшипник 6310</t>
  </si>
  <si>
    <t>Высокооборотный гидравлический мотор</t>
  </si>
  <si>
    <t>Манжет 58*80</t>
  </si>
  <si>
    <t>Манжет 80*100</t>
  </si>
  <si>
    <t>Манжет 80*110</t>
  </si>
  <si>
    <t>Манжет 145*175</t>
  </si>
  <si>
    <t>Манжет 28*41</t>
  </si>
  <si>
    <t>Сальник 160*190*14</t>
  </si>
  <si>
    <t>Сальник 160*190*12</t>
  </si>
  <si>
    <t>Сальник 140*150*12</t>
  </si>
  <si>
    <t>Уплатнительное кольцо с сечением 3,5/ Д 135</t>
  </si>
  <si>
    <t>Уплатнительное кольцо с сечением 3,5/ Д 230</t>
  </si>
  <si>
    <t>Уплатнительное кольцо с сечением 3,5/ Д 240</t>
  </si>
  <si>
    <t>Уплатнительное кольцо с сечением 3,5/ Д 220</t>
  </si>
  <si>
    <t>установка подшибник 51144</t>
  </si>
  <si>
    <t xml:space="preserve">установка подшибник 8205 </t>
  </si>
  <si>
    <t xml:space="preserve">установка подшибник 8305 </t>
  </si>
  <si>
    <t>Ремонт токарный станок</t>
  </si>
  <si>
    <t>установка подшибник 7516</t>
  </si>
  <si>
    <t>установка подшибник 7520</t>
  </si>
  <si>
    <t>установка подшибник 2226</t>
  </si>
  <si>
    <t>вентил d15</t>
  </si>
  <si>
    <t>вентил d25</t>
  </si>
  <si>
    <t>вентил d50</t>
  </si>
  <si>
    <t>Подшипник 7616</t>
  </si>
  <si>
    <t xml:space="preserve">Подшипник 209 </t>
  </si>
  <si>
    <t>Подшипник 306</t>
  </si>
  <si>
    <t>Подшипник 309</t>
  </si>
  <si>
    <t>Подшипник 307</t>
  </si>
  <si>
    <t>Подшипник 308</t>
  </si>
  <si>
    <t>Подшипник 206</t>
  </si>
  <si>
    <t>вентил d76</t>
  </si>
  <si>
    <t>Подшипник упорный 51134</t>
  </si>
  <si>
    <t>Подшипник упорный 51211</t>
  </si>
  <si>
    <t>Подшипник 22210</t>
  </si>
  <si>
    <t>Подшипник роликовой  3979/3920</t>
  </si>
  <si>
    <t>Подшипник 3958/39520</t>
  </si>
  <si>
    <t>Подшипник 7516</t>
  </si>
  <si>
    <t>Подшипник 32024</t>
  </si>
  <si>
    <t>Подшипник 32032</t>
  </si>
  <si>
    <t>Подшипник 210</t>
  </si>
  <si>
    <t>Подшипник 212</t>
  </si>
  <si>
    <t>Подшипник 32020</t>
  </si>
  <si>
    <t>Подшипник 32022</t>
  </si>
  <si>
    <t>Подшипник 32028</t>
  </si>
  <si>
    <t xml:space="preserve">Ремен </t>
  </si>
  <si>
    <t>подшибник 32026</t>
  </si>
  <si>
    <t>подшибник 32028</t>
  </si>
  <si>
    <t xml:space="preserve"> ремонт токарный станок 1Н63</t>
  </si>
  <si>
    <t>ремонт кернопилний станок</t>
  </si>
  <si>
    <t>Подшипник 30228</t>
  </si>
  <si>
    <t xml:space="preserve">Подшипник 309 </t>
  </si>
  <si>
    <t xml:space="preserve">Подшипник 310 </t>
  </si>
  <si>
    <t>Cальник</t>
  </si>
  <si>
    <t>Трубодержател от бурового установки DBC Makina ESD -9</t>
  </si>
  <si>
    <t>Буровой насос FMC от бурового установки DBC Makina ESD -9</t>
  </si>
  <si>
    <t>Cтанок точилний</t>
  </si>
  <si>
    <t>Трубодержател от буровой установки HANJIN-16DE</t>
  </si>
  <si>
    <t>Буровой насос  от буровой установки HANJIN-16DE</t>
  </si>
  <si>
    <t>Подшипник №307</t>
  </si>
  <si>
    <t>Подшипник №314</t>
  </si>
  <si>
    <t>Подшипник №108905</t>
  </si>
  <si>
    <t>Подшипник № 8109</t>
  </si>
  <si>
    <t>Подшипник № 6026</t>
  </si>
  <si>
    <t>Подшипник №8313</t>
  </si>
  <si>
    <t>Подшипник №8322</t>
  </si>
  <si>
    <t>Подшипник №8120</t>
  </si>
  <si>
    <t>Подшипник № 206</t>
  </si>
  <si>
    <t>Подшипник № 308</t>
  </si>
  <si>
    <t>Подшипник № 309</t>
  </si>
  <si>
    <t>Ремень Марка А13х900</t>
  </si>
  <si>
    <t>Подшипник 2307 роликовый</t>
  </si>
  <si>
    <t>Кислородный шланг Д-8</t>
  </si>
  <si>
    <t>Ремень 6 ПК 1703</t>
  </si>
  <si>
    <t>Ремень профиль А 937</t>
  </si>
  <si>
    <t>Ремень 6 ПК 1195</t>
  </si>
  <si>
    <t>Ремень 6 ПК 1200</t>
  </si>
  <si>
    <t>Ремень профиль Б 1750</t>
  </si>
  <si>
    <t>Подшипник нотяжителя Камаз 43118</t>
  </si>
  <si>
    <t>Подшипник ступицы</t>
  </si>
  <si>
    <t>Подшипник нотяжителя УАЗ 390995</t>
  </si>
  <si>
    <t>Сальник ступицы</t>
  </si>
  <si>
    <t xml:space="preserve"> Пункт № 25. Периодическая экспертиза объектов и оборудования, проводимая государственными органами надзора</t>
  </si>
  <si>
    <t>Ish o`rnilarini shaxodatlash(Атестация рабочих мест)</t>
  </si>
  <si>
    <t>чел</t>
  </si>
  <si>
    <t>Аттестация рабочих мест</t>
  </si>
  <si>
    <t>Aтестация рабочий месяц</t>
  </si>
  <si>
    <t>Тахеометр TS 02 power 5
 №1339529</t>
  </si>
  <si>
    <t>Remont TNVD (TY-160 buldozer)</t>
  </si>
  <si>
    <t>Remont TNVD   ( KAMAZ - 5320)</t>
  </si>
  <si>
    <t>Remont TNVD (Трактор К-703 М12)</t>
  </si>
  <si>
    <t>Remont TNVD   ( KAMAZ - 5410)</t>
  </si>
  <si>
    <t xml:space="preserve"> Ремонт ТНВД топливных насосов высокого давления  и инжектора    Буровая установка DBC S-15</t>
  </si>
  <si>
    <t xml:space="preserve"> Ремонт ТНВД топливных насосов высокого давления Бульдозер Т165-2В</t>
  </si>
  <si>
    <t>Подшипник 2211 ЕМСЗ-роликовый</t>
  </si>
  <si>
    <t>Подшипник 2210 ЕCJСЗ-роликовый</t>
  </si>
  <si>
    <t>Подшипник 22210 СС-СЗ-роликовый</t>
  </si>
  <si>
    <t>Подшипник 22211 ЕАЕ4СЗ-роликовый</t>
  </si>
  <si>
    <t>Подшипник 307-шариковый</t>
  </si>
  <si>
    <t>Подшипник 205-шариковый</t>
  </si>
  <si>
    <t>Подшипник 204-шариковый</t>
  </si>
  <si>
    <t>Подшипник 304-шариковый</t>
  </si>
  <si>
    <t>Сальник 70-100-10</t>
  </si>
  <si>
    <t>Сальник 72-55-8</t>
  </si>
  <si>
    <t>Сальник 90-65-8</t>
  </si>
  <si>
    <t>Ремень текстропный HTD1120-8M-20 зубчатый</t>
  </si>
  <si>
    <t>Ремень текстропный 1250 "В"</t>
  </si>
  <si>
    <t>Ремень текстропный 1320 "В"</t>
  </si>
  <si>
    <t>Ремень текстропный 1400 "В"</t>
  </si>
  <si>
    <t>Ремень текстропный 2650 "В"</t>
  </si>
  <si>
    <t>Ремень текстропный 1500-1550 "А"</t>
  </si>
  <si>
    <t>Yuqori bosimli yonilg'i nasosini diagnostika qilish va ta'mirlash. Ремонт ТНВД (топливных насосов высокого давления)                                             Дизельный компрессор Atlas Copco XAHS 237 Dd</t>
  </si>
  <si>
    <t>uslugi. yed усл.ед</t>
  </si>
  <si>
    <t>Yuqori bosimli yonilg'i pompasi va forsunkasini ta'mirlash (Ремонт топливного насоса высокого давления и форсунок ТТЗ-100) 4 тали</t>
  </si>
  <si>
    <t xml:space="preserve"> Пункт № 26. Диагностика и мелкий ремонт форсунок и ТНВД по согласованию с транспортным отделом.</t>
  </si>
  <si>
    <t xml:space="preserve">Пункт № 27. Изготовление быстроизнашиваемых деталей по разовой заявке по согласованию со службой 
главного механика </t>
  </si>
  <si>
    <t>Hanjin D&amp;B10D burg'ulash uskunasini lebyodka qismini ta'mirlash</t>
  </si>
  <si>
    <t>ESD9 burg'ulash uskunasining gidravlik tizimini ta'mirlash</t>
  </si>
  <si>
    <t>Камаз-43118 ЕВРО-2 70.739 NAA ТНВД-форсунка к/т 337-20 ЕВРО</t>
  </si>
  <si>
    <t>Камаз-43118 ЕВРО-2 70.794 NAA ТНВД-форсунка к/т 337-20 ЕВРО</t>
  </si>
  <si>
    <t>Экск NEWHOLLAND 485.AA.70 ТНВД VE 4/12 F110</t>
  </si>
  <si>
    <t>ISUZU bortovoy 70.767.NAA ТНВД S 4MD 105/412 LS 2</t>
  </si>
  <si>
    <t>PINGPU buldozer</t>
  </si>
  <si>
    <t xml:space="preserve">КАМАЗ-43118 70.750.NAA форсунка шт </t>
  </si>
  <si>
    <t xml:space="preserve">Hanjin буровой №150 </t>
  </si>
  <si>
    <t>Hanjin буровой №152</t>
  </si>
  <si>
    <t>Hanjin буровой №158</t>
  </si>
  <si>
    <r>
      <t>Резец отрезной 32</t>
    </r>
    <r>
      <rPr>
        <vertAlign val="superscript"/>
        <sz val="12"/>
        <color theme="1"/>
        <rFont val="Times New Roman"/>
        <family val="1"/>
        <charset val="204"/>
      </rPr>
      <t>*</t>
    </r>
    <r>
      <rPr>
        <sz val="12"/>
        <color theme="1"/>
        <rFont val="Times New Roman"/>
        <family val="1"/>
        <charset val="204"/>
      </rPr>
      <t>20</t>
    </r>
    <r>
      <rPr>
        <vertAlign val="superscript"/>
        <sz val="12"/>
        <color theme="1"/>
        <rFont val="Times New Roman"/>
        <family val="1"/>
        <charset val="204"/>
      </rPr>
      <t>*</t>
    </r>
    <r>
      <rPr>
        <sz val="12"/>
        <color theme="1"/>
        <rFont val="Times New Roman"/>
        <family val="1"/>
        <charset val="204"/>
      </rPr>
      <t>170 ВК8</t>
    </r>
  </si>
  <si>
    <r>
      <t>Резец отрезной Т15К6 32</t>
    </r>
    <r>
      <rPr>
        <vertAlign val="superscript"/>
        <sz val="12"/>
        <color theme="1"/>
        <rFont val="Times New Roman"/>
        <family val="1"/>
        <charset val="204"/>
      </rPr>
      <t>*</t>
    </r>
    <r>
      <rPr>
        <sz val="12"/>
        <color theme="1"/>
        <rFont val="Times New Roman"/>
        <family val="1"/>
        <charset val="204"/>
      </rPr>
      <t>20</t>
    </r>
    <r>
      <rPr>
        <vertAlign val="superscript"/>
        <sz val="12"/>
        <color theme="1"/>
        <rFont val="Times New Roman"/>
        <family val="1"/>
        <charset val="204"/>
      </rPr>
      <t>*</t>
    </r>
    <r>
      <rPr>
        <sz val="12"/>
        <color theme="1"/>
        <rFont val="Times New Roman"/>
        <family val="1"/>
        <charset val="204"/>
      </rPr>
      <t>170</t>
    </r>
  </si>
  <si>
    <r>
      <t>Резец подрезное  ВК8 32</t>
    </r>
    <r>
      <rPr>
        <vertAlign val="superscript"/>
        <sz val="12"/>
        <color theme="1"/>
        <rFont val="Times New Roman"/>
        <family val="1"/>
        <charset val="204"/>
      </rPr>
      <t>*</t>
    </r>
    <r>
      <rPr>
        <sz val="12"/>
        <color theme="1"/>
        <rFont val="Times New Roman"/>
        <family val="1"/>
        <charset val="204"/>
      </rPr>
      <t>20</t>
    </r>
    <r>
      <rPr>
        <vertAlign val="superscript"/>
        <sz val="12"/>
        <color theme="1"/>
        <rFont val="Times New Roman"/>
        <family val="1"/>
        <charset val="204"/>
      </rPr>
      <t>*</t>
    </r>
    <r>
      <rPr>
        <sz val="12"/>
        <color theme="1"/>
        <rFont val="Times New Roman"/>
        <family val="1"/>
        <charset val="204"/>
      </rPr>
      <t>170</t>
    </r>
  </si>
  <si>
    <r>
      <t>Резец подрезное  Т15К6 32</t>
    </r>
    <r>
      <rPr>
        <vertAlign val="superscript"/>
        <sz val="12"/>
        <color theme="1"/>
        <rFont val="Times New Roman"/>
        <family val="1"/>
        <charset val="204"/>
      </rPr>
      <t>*</t>
    </r>
    <r>
      <rPr>
        <sz val="12"/>
        <color theme="1"/>
        <rFont val="Times New Roman"/>
        <family val="1"/>
        <charset val="204"/>
      </rPr>
      <t>20</t>
    </r>
    <r>
      <rPr>
        <vertAlign val="superscript"/>
        <sz val="12"/>
        <color theme="1"/>
        <rFont val="Times New Roman"/>
        <family val="1"/>
        <charset val="204"/>
      </rPr>
      <t>*</t>
    </r>
    <r>
      <rPr>
        <sz val="12"/>
        <color theme="1"/>
        <rFont val="Times New Roman"/>
        <family val="1"/>
        <charset val="204"/>
      </rPr>
      <t>170</t>
    </r>
  </si>
  <si>
    <r>
      <t>Резец проходное ВК8     32</t>
    </r>
    <r>
      <rPr>
        <vertAlign val="superscript"/>
        <sz val="12"/>
        <color theme="1"/>
        <rFont val="Times New Roman"/>
        <family val="1"/>
        <charset val="204"/>
      </rPr>
      <t>*</t>
    </r>
    <r>
      <rPr>
        <sz val="12"/>
        <color theme="1"/>
        <rFont val="Times New Roman"/>
        <family val="1"/>
        <charset val="204"/>
      </rPr>
      <t>20</t>
    </r>
    <r>
      <rPr>
        <vertAlign val="superscript"/>
        <sz val="12"/>
        <color theme="1"/>
        <rFont val="Times New Roman"/>
        <family val="1"/>
        <charset val="204"/>
      </rPr>
      <t>*</t>
    </r>
    <r>
      <rPr>
        <sz val="12"/>
        <color theme="1"/>
        <rFont val="Times New Roman"/>
        <family val="1"/>
        <charset val="204"/>
      </rPr>
      <t>170</t>
    </r>
  </si>
  <si>
    <r>
      <t>Резец проходное Т15К6  32</t>
    </r>
    <r>
      <rPr>
        <vertAlign val="superscript"/>
        <sz val="12"/>
        <color theme="1"/>
        <rFont val="Times New Roman"/>
        <family val="1"/>
        <charset val="204"/>
      </rPr>
      <t>*</t>
    </r>
    <r>
      <rPr>
        <sz val="12"/>
        <color theme="1"/>
        <rFont val="Times New Roman"/>
        <family val="1"/>
        <charset val="204"/>
      </rPr>
      <t>20</t>
    </r>
    <r>
      <rPr>
        <vertAlign val="superscript"/>
        <sz val="12"/>
        <color theme="1"/>
        <rFont val="Times New Roman"/>
        <family val="1"/>
        <charset val="204"/>
      </rPr>
      <t>*</t>
    </r>
    <r>
      <rPr>
        <sz val="12"/>
        <color theme="1"/>
        <rFont val="Times New Roman"/>
        <family val="1"/>
        <charset val="204"/>
      </rPr>
      <t>170</t>
    </r>
  </si>
  <si>
    <r>
      <t>Резец наружное резьбовой ВК8 32</t>
    </r>
    <r>
      <rPr>
        <vertAlign val="superscript"/>
        <sz val="12"/>
        <color theme="1"/>
        <rFont val="Times New Roman"/>
        <family val="1"/>
        <charset val="204"/>
      </rPr>
      <t>*</t>
    </r>
    <r>
      <rPr>
        <sz val="12"/>
        <color theme="1"/>
        <rFont val="Times New Roman"/>
        <family val="1"/>
        <charset val="204"/>
      </rPr>
      <t>20</t>
    </r>
    <r>
      <rPr>
        <vertAlign val="superscript"/>
        <sz val="12"/>
        <color theme="1"/>
        <rFont val="Times New Roman"/>
        <family val="1"/>
        <charset val="204"/>
      </rPr>
      <t>*</t>
    </r>
    <r>
      <rPr>
        <sz val="12"/>
        <color theme="1"/>
        <rFont val="Times New Roman"/>
        <family val="1"/>
        <charset val="204"/>
      </rPr>
      <t>170</t>
    </r>
  </si>
  <si>
    <r>
      <t>Резец наружное резьбовой Т15К6 32</t>
    </r>
    <r>
      <rPr>
        <vertAlign val="superscript"/>
        <sz val="12"/>
        <color theme="1"/>
        <rFont val="Times New Roman"/>
        <family val="1"/>
        <charset val="204"/>
      </rPr>
      <t>*</t>
    </r>
    <r>
      <rPr>
        <sz val="12"/>
        <color theme="1"/>
        <rFont val="Times New Roman"/>
        <family val="1"/>
        <charset val="204"/>
      </rPr>
      <t>20</t>
    </r>
    <r>
      <rPr>
        <vertAlign val="superscript"/>
        <sz val="12"/>
        <color theme="1"/>
        <rFont val="Times New Roman"/>
        <family val="1"/>
        <charset val="204"/>
      </rPr>
      <t>*</t>
    </r>
    <r>
      <rPr>
        <sz val="12"/>
        <color theme="1"/>
        <rFont val="Times New Roman"/>
        <family val="1"/>
        <charset val="204"/>
      </rPr>
      <t>170</t>
    </r>
  </si>
  <si>
    <r>
      <t>Резец внутренние резьбовой ВК8 25</t>
    </r>
    <r>
      <rPr>
        <vertAlign val="superscript"/>
        <sz val="12"/>
        <color theme="1"/>
        <rFont val="Times New Roman"/>
        <family val="1"/>
        <charset val="204"/>
      </rPr>
      <t>*</t>
    </r>
    <r>
      <rPr>
        <sz val="12"/>
        <color theme="1"/>
        <rFont val="Times New Roman"/>
        <family val="1"/>
        <charset val="204"/>
      </rPr>
      <t>25</t>
    </r>
    <r>
      <rPr>
        <vertAlign val="superscript"/>
        <sz val="12"/>
        <color theme="1"/>
        <rFont val="Times New Roman"/>
        <family val="1"/>
        <charset val="204"/>
      </rPr>
      <t>*</t>
    </r>
    <r>
      <rPr>
        <sz val="12"/>
        <color theme="1"/>
        <rFont val="Times New Roman"/>
        <family val="1"/>
        <charset val="204"/>
      </rPr>
      <t>240</t>
    </r>
  </si>
  <si>
    <r>
      <t>Резец внутренние резьбовой Т15К6 25</t>
    </r>
    <r>
      <rPr>
        <vertAlign val="superscript"/>
        <sz val="12"/>
        <color theme="1"/>
        <rFont val="Times New Roman"/>
        <family val="1"/>
        <charset val="204"/>
      </rPr>
      <t>*</t>
    </r>
    <r>
      <rPr>
        <sz val="12"/>
        <color theme="1"/>
        <rFont val="Times New Roman"/>
        <family val="1"/>
        <charset val="204"/>
      </rPr>
      <t>25</t>
    </r>
    <r>
      <rPr>
        <vertAlign val="superscript"/>
        <sz val="12"/>
        <color theme="1"/>
        <rFont val="Times New Roman"/>
        <family val="1"/>
        <charset val="204"/>
      </rPr>
      <t>*</t>
    </r>
    <r>
      <rPr>
        <sz val="12"/>
        <color theme="1"/>
        <rFont val="Times New Roman"/>
        <family val="1"/>
        <charset val="204"/>
      </rPr>
      <t>240</t>
    </r>
  </si>
  <si>
    <t>Круг шлифованный 22х180</t>
  </si>
  <si>
    <t>Ремин 1700 ПК-10  ХАVS-166 учун.</t>
  </si>
  <si>
    <t>Ремин 1500 ПК-8  Z-700 учун.</t>
  </si>
  <si>
    <t>Ремин 1850 ПК-6  Boyles C6</t>
  </si>
  <si>
    <t>Ремин 1700 ПК-13 А-75  kernlarni kesuvchi uskunalar uchun</t>
  </si>
  <si>
    <t>ком</t>
  </si>
  <si>
    <t>мli salnik Ø 0,7 mm</t>
  </si>
  <si>
    <t>мli salnik Ø 0,8 mm</t>
  </si>
  <si>
    <t>мli salnik Ø 0,9 mm</t>
  </si>
  <si>
    <t>Podshipnik JJ-G30 GRAFT6205ZZ kernlarni kesuvchi uskunalar uchun</t>
  </si>
  <si>
    <t>Колесо с круговым зубом от бурового станка УКБ-5</t>
  </si>
  <si>
    <t>Шестерня с круговым зубом</t>
  </si>
  <si>
    <t>Вал шлицевой 60*L=425 M=2,5 градус 30 Z 22</t>
  </si>
  <si>
    <t>Врашател от буровой установки HANJIN-16DE</t>
  </si>
  <si>
    <t>Ремонт кернопил</t>
  </si>
  <si>
    <t>Врашател от буровой установки DBC Makina ESD -9</t>
  </si>
  <si>
    <t>Главный цилиндр от буровой установки DBC Makina ESD -9</t>
  </si>
  <si>
    <t>№
п/п</t>
  </si>
  <si>
    <t>ТМЦ</t>
  </si>
  <si>
    <t>Cooperation.uz</t>
  </si>
  <si>
    <t>Аукцион</t>
  </si>
  <si>
    <t>Электронный магазин</t>
  </si>
  <si>
    <t>Метод закупки</t>
  </si>
  <si>
    <t xml:space="preserve">Прямой </t>
  </si>
  <si>
    <t xml:space="preserve">Отбор наилучшего предложения/при срочной необходимости Магазин </t>
  </si>
  <si>
    <t>Кооперацион портал</t>
  </si>
  <si>
    <t>прямой договор</t>
  </si>
  <si>
    <t>Отбор наилучшего предложения</t>
  </si>
  <si>
    <t>Аукцион на понижение стартовой цены</t>
  </si>
  <si>
    <t>СПОТ</t>
  </si>
  <si>
    <t>Харид предмети 
таснифи</t>
  </si>
  <si>
    <t>Папка-скоросшиватель картонная</t>
  </si>
  <si>
    <t xml:space="preserve">Папка для бумаг </t>
  </si>
  <si>
    <t>Папка-регистр широкий 75мм</t>
  </si>
  <si>
    <t>Папка-регистр узкий 50мм</t>
  </si>
  <si>
    <t>Скотч большой</t>
  </si>
  <si>
    <t>Скотч канцелярский 1см</t>
  </si>
  <si>
    <t>Скотч канцелярский 5см</t>
  </si>
  <si>
    <t>Скотч канцелярский 10см</t>
  </si>
  <si>
    <t>Бумага для заметок (91мм х 87мм)</t>
  </si>
  <si>
    <t xml:space="preserve">Пластиковый скоросшиватель простой </t>
  </si>
  <si>
    <t>Пластиковая папка для файлов</t>
  </si>
  <si>
    <t>Файл-лист одинарный (перфофайл)</t>
  </si>
  <si>
    <t>Стикер самоклеящаяся цветная Deli</t>
  </si>
  <si>
    <t>Стикер для заметок  (тонкие)</t>
  </si>
  <si>
    <t>Клей канцелярский 100 мл</t>
  </si>
  <si>
    <t>Клей ПВ 80 мл, Deli E39446</t>
  </si>
  <si>
    <t>Клей сухой («помадка»)</t>
  </si>
  <si>
    <t>Дырокол большой</t>
  </si>
  <si>
    <t xml:space="preserve">Кнопки </t>
  </si>
  <si>
    <t>Скрепки цветные</t>
  </si>
  <si>
    <t>Степлер большой (24/6) для 50 листов</t>
  </si>
  <si>
    <t xml:space="preserve">Степлер маленький </t>
  </si>
  <si>
    <t>Скоба для степлера (24/6)</t>
  </si>
  <si>
    <t xml:space="preserve">Скоба маленькая № </t>
  </si>
  <si>
    <t>Карандаши простые Memoris-Precious</t>
  </si>
  <si>
    <t>Карандаш Maped (HB,Black'Peps)</t>
  </si>
  <si>
    <t>Карандаш механический диаметром 0,5 мм</t>
  </si>
  <si>
    <t xml:space="preserve">Грифель диамет. 0,5 мм для карандаша мех. </t>
  </si>
  <si>
    <t>упак.</t>
  </si>
  <si>
    <t>Стержни с красками для ручки механической (3 цвета)</t>
  </si>
  <si>
    <t>Маркёр цветной (УЗ/ЦС)</t>
  </si>
  <si>
    <t>Маркёр перманентный черний</t>
  </si>
  <si>
    <t>Маркер (Thint u001, 2.0mm)</t>
  </si>
  <si>
    <t>Линейка металлическая (1м)</t>
  </si>
  <si>
    <t xml:space="preserve">Зажим для бумаги Deli 5 мм </t>
  </si>
  <si>
    <t xml:space="preserve">Зажим для бумаги Deli 10 мм </t>
  </si>
  <si>
    <t xml:space="preserve">Зажим для бумаги Deli 15 мм </t>
  </si>
  <si>
    <t xml:space="preserve">Зажим для бумаги Deli 20 мм </t>
  </si>
  <si>
    <t xml:space="preserve">Зажим для бумаги Deli 25 мм </t>
  </si>
  <si>
    <t xml:space="preserve">Зажим для бумаги Deli 30 мм </t>
  </si>
  <si>
    <t xml:space="preserve">Лупа с ручкой диаметром 5-6 см </t>
  </si>
  <si>
    <t xml:space="preserve">Нож канцелярский большой </t>
  </si>
  <si>
    <t xml:space="preserve">Лезвие на нож канцелярский большой </t>
  </si>
  <si>
    <t xml:space="preserve">Ножницы металлические большие </t>
  </si>
  <si>
    <t xml:space="preserve">Сумка-портфель для документов </t>
  </si>
  <si>
    <t>Пальчиковые батарейки большой для компьютерных мышей (типа Дурасел)  АА</t>
  </si>
  <si>
    <t>Пальчиковые батарейки большой для компьютерных мышей (типа Дурасел) ААА</t>
  </si>
  <si>
    <t>Бумага A4 Double A</t>
  </si>
  <si>
    <t>Бумага A3 Double A</t>
  </si>
  <si>
    <t xml:space="preserve">Бумага А4 </t>
  </si>
  <si>
    <t xml:space="preserve">Ручка механическая трехцветная </t>
  </si>
  <si>
    <t>Ручки капиллярные (цвет краски синий)</t>
  </si>
  <si>
    <t>Ручка гелевая (5 цветов в комплекте)</t>
  </si>
  <si>
    <t>Ручка шариковая красная</t>
  </si>
  <si>
    <t>Ручка шариковая черная</t>
  </si>
  <si>
    <t>Ручка шариковая синяя</t>
  </si>
  <si>
    <t>Ручка гелевая</t>
  </si>
  <si>
    <t>Белая картонная бумага А3</t>
  </si>
  <si>
    <t xml:space="preserve">Шина для переплета (3, 5, 10, 12, 15, 17, 25, 35 мм.) </t>
  </si>
  <si>
    <t>Картон для переплета A4</t>
  </si>
  <si>
    <t>Пленка для переплета A4</t>
  </si>
  <si>
    <t>Маркеры HIGHLIGHTER</t>
  </si>
  <si>
    <r>
      <t>Рулонная бумага для плоттера (Бумага без покрытия для струйной печати 80 г/м</t>
    </r>
    <r>
      <rPr>
        <vertAlign val="superscript"/>
        <sz val="14"/>
        <color rgb="FF000000"/>
        <rFont val="Times New Roman"/>
        <family val="1"/>
        <charset val="204"/>
      </rPr>
      <t>2 </t>
    </r>
    <r>
      <rPr>
        <sz val="14"/>
        <color rgb="FF000000"/>
        <rFont val="Times New Roman"/>
        <family val="1"/>
        <charset val="204"/>
      </rPr>
      <t>914мм х 50м)</t>
    </r>
  </si>
  <si>
    <t xml:space="preserve">Горизонтальные лотки </t>
  </si>
  <si>
    <t>Точилка для карандашей</t>
  </si>
  <si>
    <t>Фото бумага А4</t>
  </si>
  <si>
    <t>Файловая папка</t>
  </si>
  <si>
    <t>Органайзер для канцелярии</t>
  </si>
  <si>
    <t>Display book B024 (цветной)</t>
  </si>
  <si>
    <t>Путевой лист типовая форма №712</t>
  </si>
  <si>
    <t>Шпагат полипропиленовый шпагат веревка</t>
  </si>
  <si>
    <t xml:space="preserve">Трудовой кодекс узбекистана новая редакция </t>
  </si>
  <si>
    <t xml:space="preserve">Вертикальные лотки </t>
  </si>
  <si>
    <t>Шредер для офиса</t>
  </si>
  <si>
    <t>Харид 
предмети</t>
  </si>
  <si>
    <t xml:space="preserve">Зажим для бумаги Deli 8 мм </t>
  </si>
  <si>
    <t>Клей карандаш (stick Dolphin 35гр)</t>
  </si>
  <si>
    <t>Пружина для переплета 8мм</t>
  </si>
  <si>
    <t>Пружина для переплета 20мм</t>
  </si>
  <si>
    <t>Обложка для переплета, пластиковая синяя</t>
  </si>
  <si>
    <t>Обложка для переплета, белый</t>
  </si>
  <si>
    <t xml:space="preserve">Графитные кркандаши для рсования </t>
  </si>
  <si>
    <t>Стикеры-закладки в виде флажков, 
5 неоновых цветов, пластиковые</t>
  </si>
  <si>
    <t>Блок самоклеящийся стикеры, 76*76мм, 
400 листов</t>
  </si>
  <si>
    <t>Бумага листовая для офисной техники 
Sylvamo Svetocopy, A4ф С07/3, 500 листов</t>
  </si>
  <si>
    <t>Набор маркеров 4 цвета для выделения текста DuHu Dh-803, текстовыделитель</t>
  </si>
  <si>
    <t>Разделитель листов Attache Economy A4 пластиковый 12
листов разноцветный (295х210мм)</t>
  </si>
  <si>
    <t>Корзина металлическая для бумаг Deli 9189</t>
  </si>
  <si>
    <t>Ручка шариковая Pilot BP-S зеленая 0,7мм</t>
  </si>
  <si>
    <t>Конверт почтовый</t>
  </si>
  <si>
    <t>Харид 
предмети 
тасфини</t>
  </si>
  <si>
    <t>Корректор-карандаш (замазка)</t>
  </si>
  <si>
    <t xml:space="preserve">Штрих-корректор-ручка, Deli(замазка) </t>
  </si>
  <si>
    <t xml:space="preserve">Журнал баннер 40 талик </t>
  </si>
  <si>
    <t>Деловой журнал 96 листов</t>
  </si>
  <si>
    <t>Зажим для бумаг</t>
  </si>
  <si>
    <t>Папка 10 см</t>
  </si>
  <si>
    <t>Папка 7 см</t>
  </si>
  <si>
    <t>Папка 6 см</t>
  </si>
  <si>
    <t>Скрошиватель пуржинах 20 листов</t>
  </si>
  <si>
    <t>Скрошиватель зажимах 20 листов</t>
  </si>
  <si>
    <t>Скрошиватель (Дело)</t>
  </si>
  <si>
    <t>Папка регистр большой</t>
  </si>
  <si>
    <r>
      <t>Рулонная бумага для плоттера (Бумага без покрытия для струйной печати 90 г/м</t>
    </r>
    <r>
      <rPr>
        <vertAlign val="superscript"/>
        <sz val="14"/>
        <color rgb="FF000000"/>
        <rFont val="Times New Roman"/>
        <family val="1"/>
        <charset val="204"/>
      </rPr>
      <t>2 </t>
    </r>
    <r>
      <rPr>
        <sz val="14"/>
        <color rgb="FF000000"/>
        <rFont val="Times New Roman"/>
        <family val="1"/>
        <charset val="204"/>
      </rPr>
      <t>914мм х 46м диаметр втулки 50,8мм)</t>
    </r>
  </si>
  <si>
    <t>Картон  A1</t>
  </si>
  <si>
    <t>Картон в листах для книжных
 переплета. Толщина - 2,0 мм,
 Плотность гр/м2 -1260,
Формат - 105х92 см.</t>
  </si>
  <si>
    <t>Картон белый А1</t>
  </si>
  <si>
    <t>Мелованный картон белый 235гр, формат А1 для обложки журнала</t>
  </si>
  <si>
    <t xml:space="preserve">Конверт </t>
  </si>
  <si>
    <t>Крафт конверты из 
дизайнерской бумаги
 с клеевой полосой. 
Формат - 229х324мм, 
Плость гр/м2-90</t>
  </si>
  <si>
    <t xml:space="preserve">Glossy Ink Jet Paper (A4, 135g) </t>
  </si>
  <si>
    <t>Фото бумага А3</t>
  </si>
  <si>
    <t xml:space="preserve">Glossy Ink Jet Paper (A3, 135g) </t>
  </si>
  <si>
    <t xml:space="preserve">Гознак (формат размеры 610х860 мм. По 300 Лист) </t>
  </si>
  <si>
    <t>Папка 8 см</t>
  </si>
  <si>
    <t>Пружина для переплета с обложкой, размер 8 мм.</t>
  </si>
  <si>
    <t>Пружина (синяя) для переплета с обложкой (пластиковая прозрачная, картон синяя), размер 8 мм.</t>
  </si>
  <si>
    <t>Пружина для переплета с обложкой, размер 10 м.</t>
  </si>
  <si>
    <t>Пружина (синяя) для переплета с обложкой (пластиковая прозрачная, картон синяя), размер 10 мм.</t>
  </si>
  <si>
    <t>Пружина для переплета с обложкой, размер 14 мм.</t>
  </si>
  <si>
    <t>Пружина (синяя) для переплета с обложкой (пластиковая прозрачная, картон синяя), размер 14 мм.</t>
  </si>
  <si>
    <t>Пружина для переплета с обложкой, размер 16 мм.</t>
  </si>
  <si>
    <t>Пружина (синяя) для переплета с обложкой (пластиковая прозрачная, картон синяя), размер 16 мм.</t>
  </si>
  <si>
    <t>Пружина для переплета с обложкой, размер 18 мм.</t>
  </si>
  <si>
    <t>Пружина (синяя) для переплета с обложкой (пластиковая прозрачная, картон синяя), размер 18 мм.</t>
  </si>
  <si>
    <t>Пружина для переплета с обложкой, размер 22 мм.</t>
  </si>
  <si>
    <t>Пружина (синяя) для переплета с обложкой (пластиковая прозрачная, картон синяя), размер 22 мм.</t>
  </si>
  <si>
    <t>Карандаш цвет</t>
  </si>
  <si>
    <t>Скоба для степлера (23/6)</t>
  </si>
  <si>
    <t>Штрих</t>
  </si>
  <si>
    <t>лист</t>
  </si>
  <si>
    <t>Эмульсионный клей для дерева на основе ПВА, клей машхад 801, 850гр.</t>
  </si>
  <si>
    <t>Диск CD-R</t>
  </si>
  <si>
    <t>Диск DVD</t>
  </si>
  <si>
    <t>Папка 4 см</t>
  </si>
  <si>
    <t>Маркер МАХХ 130</t>
  </si>
  <si>
    <t>Файл Пустографка</t>
  </si>
  <si>
    <t>Флешка</t>
  </si>
  <si>
    <t>Бумага когоз</t>
  </si>
  <si>
    <t>миллметрли</t>
  </si>
  <si>
    <t>махсус босма</t>
  </si>
  <si>
    <t>Карандаш простой черный</t>
  </si>
  <si>
    <t>Резинка (ластик) Учиргич</t>
  </si>
  <si>
    <t xml:space="preserve">Линейка металлическая 20 см </t>
  </si>
  <si>
    <t xml:space="preserve">Линейка металлическая 30 см </t>
  </si>
  <si>
    <t xml:space="preserve">Линейка металлическая 50 см </t>
  </si>
  <si>
    <t>Бумага</t>
  </si>
  <si>
    <t>Кол - во</t>
  </si>
  <si>
    <t>Cкрепки большие</t>
  </si>
  <si>
    <t>Скотч прозрачный упаковочная 6 см</t>
  </si>
  <si>
    <t>Скотч прозрачный упаковочная "Skotch.uz", полимерная, с липким слоем, 6 см * 200 м</t>
  </si>
  <si>
    <t>Скотч прозрачный упаковочная "Skotch.uz", полимерная, с липким слоем, 4.5 см * 200 м</t>
  </si>
  <si>
    <t>Скотч прозрачный упаковочная 4,5см</t>
  </si>
  <si>
    <t>Журнал для регистрации "Banner" формата А4 40 листовый в мягкой обложке. Плотность бумаги 55 г/кв. м. пухлая газетка Линовка в клетку без полей.</t>
  </si>
  <si>
    <t xml:space="preserve">Зажим для бумаги Deli 32 мм </t>
  </si>
  <si>
    <t>Зажим для бумаг 32 мм (12 шт), Deli 38563
Характеристики: Все характеристики
Артикул E38563
Базовая единица упаковка
Производитель Deli
Ставки налогов 12</t>
  </si>
  <si>
    <t>Дырокол Deli Heavy Duty E0130, до 100 л</t>
  </si>
  <si>
    <t>Кнопки канцелярские 50 шт. КС-50П</t>
  </si>
  <si>
    <t>Карандаши простые 12 штук (HB) Memoris-Precious</t>
  </si>
  <si>
    <t>ERICHKRAUSE Карандаш механический 0,5мм 22005</t>
  </si>
  <si>
    <t>Клей канцелярский 100мл 7317 Deli 73177 Размеры: 145x40x40 мм</t>
  </si>
  <si>
    <t xml:space="preserve">Книга канцелярская ФорматА4(210х297 мм) Количество листов 48, Плотность бумаги г/м2 60 Линовка клетка, Обложка мелованный картон, Плотность обложки г/м2 200 </t>
  </si>
  <si>
    <t xml:space="preserve">Книга канцелярская </t>
  </si>
  <si>
    <t>Тип маркер, Цвет черный, Материал пластик, Толщина линии 0,5-1 мм, водостойкий, применяется для нанесения разметки на камен, древесине, пластике, металле.12 штук в пачке.</t>
  </si>
  <si>
    <t>Тип маркер, Цвет синий, Материал пластик, Толщина линии 0,5-1 мм, водостойкий, применяется для нанесения разметки на камен, древесине, пластике, металле. 12 штук в пачке.</t>
  </si>
  <si>
    <t>Маркёр перманентный синий</t>
  </si>
  <si>
    <t xml:space="preserve"> Тип маркер, Цвет красный, Материал пластик, Толщина линии 0,5-1 мм, водостойкий, применяется для нанесения разметки на камен, древесине, пластике, металле. 12 штук в пачке.</t>
  </si>
  <si>
    <t>Маркёр перманентный красный</t>
  </si>
  <si>
    <t>Самоклеющаяся бумага (стикер) Deli EA11002</t>
  </si>
  <si>
    <t>Стикеры для заметок, цветные, тонкие, длинные полоски</t>
  </si>
  <si>
    <t>Скрепки цветные 29 мм 100шт в упак, Deli E0024</t>
  </si>
  <si>
    <t>Степлер Deli E0314 24/6 (50листов) ассорти 150 скоб металл коробка</t>
  </si>
  <si>
    <t>Скобы для степлера Deli № 24/6 E0012N</t>
  </si>
  <si>
    <t>Штрих-корректор-ручка, Deli E7287</t>
  </si>
  <si>
    <t>Шина для переплета Deli 3831  20 мм</t>
  </si>
  <si>
    <t>Шина для переплёта 20мм</t>
  </si>
  <si>
    <t>Пружина для переплета Deli 3830 17,5 мм</t>
  </si>
  <si>
    <t>Шина для переплёта 17,5мм</t>
  </si>
  <si>
    <t>Пружина для переплета Deli 3829  15 мм</t>
  </si>
  <si>
    <t>Шина для переплёта 15мм</t>
  </si>
  <si>
    <t>Пружина для переплета Deli 3828 12,5 мм</t>
  </si>
  <si>
    <t>Шина для переплёта 12,5мм</t>
  </si>
  <si>
    <t>Пружина для переплета Deli 3827, 10 мм</t>
  </si>
  <si>
    <t>Шина для переплёта 10мм</t>
  </si>
  <si>
    <t>Пружина для переплета Deli 3826, 7.5 мм</t>
  </si>
  <si>
    <t>Шина для переплёта 7,5мм</t>
  </si>
  <si>
    <t>Шина для переплета Deli 3825, 5 мм</t>
  </si>
  <si>
    <t>Шина для переплёта 5мм</t>
  </si>
  <si>
    <t>Обложки для переплета ПВХ прозрачные, 0,18мм, А4, бесцветные ; Артикул: 4376</t>
  </si>
  <si>
    <t xml:space="preserve">Обложки для переплета ПВХ </t>
  </si>
  <si>
    <t>Файл — пластиковый, прозрачный для хранения и защиты бумажных документов от загрязнения и механических повреждений с перфорацией по одной стороне для скрепления.  А4, Перфофайл Deli (100 шт пач) Артикул: E5712</t>
  </si>
  <si>
    <t>Папка-скоросшиватель пластиковая с пружинным механизмом A4, Тип-папка, Вид папки-скоросшиватель, Назначение-офис, Формат-А4, Материал-пластик</t>
  </si>
  <si>
    <t>Папка файловая пластиковая Glance Vivid, c 20 карманами, A4</t>
  </si>
  <si>
    <t>Бумага широкоформатная Xerox Architect (диаметр втулки 76 мм, длина 175 м, ширина 914 мм, плотность 75 г/кв.м, белизна 170 %)</t>
  </si>
  <si>
    <t>Бумага для плоттера</t>
  </si>
  <si>
    <t>Грифель для механических карандашей, диаметр грифеля 0,5 мм, HB, 12 шт, пластиковый футляр Energy deVENTE 5011101</t>
  </si>
  <si>
    <t>Артикул: ПС000024403 (ЛЕДЕРИН ПОКРОВНОЙ МАТЕРИАЛ НА ТКАНЕВОЙ ОСНОВЕ ЗЕЛЕНЫЙ №332)</t>
  </si>
  <si>
    <t>Лидерин переплёт учун</t>
  </si>
  <si>
    <t>Общая сумма (фактическая)</t>
  </si>
  <si>
    <t xml:space="preserve">Капели циркониевые </t>
  </si>
  <si>
    <t xml:space="preserve">Тигли циркониевые </t>
  </si>
  <si>
    <t>28.1R26 (720R665)</t>
  </si>
  <si>
    <t>500/70-508 (1200-500-508)</t>
  </si>
  <si>
    <t>9.00R20 (260R508)</t>
  </si>
  <si>
    <t>110 A⋅h прямая</t>
  </si>
  <si>
    <t>120 A⋅h прямая</t>
  </si>
  <si>
    <t>132 A⋅h прямая</t>
  </si>
  <si>
    <t>135 A⋅h прямая</t>
  </si>
  <si>
    <t>190 A⋅h прямая</t>
  </si>
  <si>
    <t>40 A⋅h прямая</t>
  </si>
  <si>
    <t>45 A⋅h прямая</t>
  </si>
  <si>
    <t>60 A⋅h прямая</t>
  </si>
  <si>
    <t>60 A⋅h обратная</t>
  </si>
  <si>
    <t>75 A⋅h прямая</t>
  </si>
  <si>
    <t>75 A⋅h обратная</t>
  </si>
  <si>
    <t>90 A⋅h прямая</t>
  </si>
  <si>
    <t>Делитель Джонсона малого размера</t>
  </si>
  <si>
    <t>Раздел Оргтехника</t>
  </si>
  <si>
    <t>Мышка</t>
  </si>
  <si>
    <t>На замену вышедшим из строя</t>
  </si>
  <si>
    <t>Клавитура</t>
  </si>
  <si>
    <t>Диск DVD+R</t>
  </si>
  <si>
    <t>Для записи и хранения отчётов</t>
  </si>
  <si>
    <t>Цветная краска EPSON L805</t>
  </si>
  <si>
    <t>Для заправки принтера</t>
  </si>
  <si>
    <t>к-т.</t>
  </si>
  <si>
    <t>Цветная краска EPSON L1800</t>
  </si>
  <si>
    <t>Цветная краска EPSON L1300</t>
  </si>
  <si>
    <t>Цветная краска EPSON L1455</t>
  </si>
  <si>
    <t>Тонер для МФУ Canon MF241d</t>
  </si>
  <si>
    <t>Для рециклинга картриджа</t>
  </si>
  <si>
    <t>Ракель для МФУ Canon MF241d</t>
  </si>
  <si>
    <t>Фотобарабан для МФУ Canon MF241d</t>
  </si>
  <si>
    <t>Магнитный вал для МФУ Canon MF241d</t>
  </si>
  <si>
    <t>Каратрон для МФУ Canon MF241d</t>
  </si>
  <si>
    <t>Картридж для МФУ Canon MF241d</t>
  </si>
  <si>
    <t>Для замены вышедшим из строя</t>
  </si>
  <si>
    <t xml:space="preserve">Тонер для принтера Canon и HP: LBP 2900, LBP 3000, HP 1018 </t>
  </si>
  <si>
    <t>Ракель для принтера Canon и HP: LBP 2900, LBP 3000, HP 1018</t>
  </si>
  <si>
    <t>Фотобарабан для принтера Canon и HP: LBP 2900, LBP 3000, HP 1018</t>
  </si>
  <si>
    <t>Магнитный вал для принтера Canon и HP: LBP 2900, LBP 3000, HP 1018</t>
  </si>
  <si>
    <t>Каратрон для для принтера Canon и HP: LBP 2900, LBP 3000, HP 1018</t>
  </si>
  <si>
    <t>Картридж для для принтера Canon и HP: LBP 2900, LBP 3000, HP 1018</t>
  </si>
  <si>
    <t>Тонер для принтера HP LJ P1002, P1005</t>
  </si>
  <si>
    <t>Ракель для принтера HP LJ P1002, P1005</t>
  </si>
  <si>
    <t>Фотобарабан для принтера HP LJ P1002, P1005</t>
  </si>
  <si>
    <t>Магнитный вал для принтера HP LJ P1002, P1005</t>
  </si>
  <si>
    <t>Каратрон для принтера HP LJ P1002, P1005</t>
  </si>
  <si>
    <t>Картридж для принтера HP LJ P1002, P1005</t>
  </si>
  <si>
    <t>Тонер для Canon LBP 6020, 6030, MF3010</t>
  </si>
  <si>
    <t>Ракель для Canon LBP 6020, 6030, MF3010</t>
  </si>
  <si>
    <t>Фотобарабан для Canon LBP 6020, 6030, MF3010</t>
  </si>
  <si>
    <t>Магнитный вал для Canon LBP 6020, 6030, MF3010</t>
  </si>
  <si>
    <t>Каратрон для Canon LBP 6020, 6030, MF3010</t>
  </si>
  <si>
    <t>Картридж для Canon LBP 6020, 6030, MF3010</t>
  </si>
  <si>
    <t>Тонер для МФУ Canon MF261d, MF264dw, MF269dw</t>
  </si>
  <si>
    <t>Ракель для МФУ Canon MF261d, MF264dw, MF269dw</t>
  </si>
  <si>
    <t>Фотобарабан для МФУ Canon MF261d, MF264dw, MF269dw</t>
  </si>
  <si>
    <t>Магнитный вал для МФУ Canon MF261d, MF264dw, MF269dw</t>
  </si>
  <si>
    <t>Каратрон для МФУ Canon MF261d, MF264dw, MF269dw</t>
  </si>
  <si>
    <t>Картридж для МФУ Canon MF261d, MF264dw, MF269dw</t>
  </si>
  <si>
    <t>Тонер для принтера HP LJ Pro M15a</t>
  </si>
  <si>
    <t>Ракель для принтера HP LJ Pro M15a</t>
  </si>
  <si>
    <t>Фотобарабан для принтера HP LJ Pro M15a</t>
  </si>
  <si>
    <t>Магнитный вал для принтера HP LJ Pro M15a</t>
  </si>
  <si>
    <t>Каратрон для принтера HP LJ Pro M15a</t>
  </si>
  <si>
    <t>Картридж для принтера HP LJ Pro M15a</t>
  </si>
  <si>
    <t>Тонер для принтера Canon LBP 3010</t>
  </si>
  <si>
    <t>Ракель для принтера Canon LBP 3010</t>
  </si>
  <si>
    <t>Фотобарабан для принтера Canon LBP 3010</t>
  </si>
  <si>
    <t>Магнитный вал для принтера Canon LBP 3010</t>
  </si>
  <si>
    <t>Каратрон для принтера Canon LBP 3010</t>
  </si>
  <si>
    <t>Картридж для принтера Canon LBP 3010</t>
  </si>
  <si>
    <t>Тонер для МФУ Canon MF 4410</t>
  </si>
  <si>
    <t>Ракель для МФУ Canon MF 4410</t>
  </si>
  <si>
    <t>Фотобарабан для МФУ Canon MF 4410</t>
  </si>
  <si>
    <t>Магнитный вал для МФУ Canon MF 4410</t>
  </si>
  <si>
    <t>Каратрон для МФУ Canon MF 4410</t>
  </si>
  <si>
    <t>Картридж для МФУ Canon MF 4410</t>
  </si>
  <si>
    <t>Тонер для принтера Kyocera FS 1025MFP</t>
  </si>
  <si>
    <t>Ракель для принтера Kyocera FS 1025MFP</t>
  </si>
  <si>
    <t>Фотобарабан для принтера Kyocera FS 1025MFP</t>
  </si>
  <si>
    <t>Магнитный вал для принтера Kyocera FS 1025MFP</t>
  </si>
  <si>
    <t>Каратрон для принтера Kyocera FS 1025MFP</t>
  </si>
  <si>
    <t>Картридж для принтера Kyocera FS 1025MFP</t>
  </si>
  <si>
    <t>Тонер для МФУ Canon MF 421</t>
  </si>
  <si>
    <t>Ракель для МФУ Canon MF 421</t>
  </si>
  <si>
    <t>Фотобарабан для МФУ Canon MF 421</t>
  </si>
  <si>
    <t>Магнитный вал для МФУ Canon MF 421</t>
  </si>
  <si>
    <t>Каратрон для МФУ Canon MF 421</t>
  </si>
  <si>
    <t>Картридж для МФУ Canon MF 421</t>
  </si>
  <si>
    <t>Тонер для МФУ Canon MF 443dw</t>
  </si>
  <si>
    <t>Ракель для МФУ Canon MF 443dw</t>
  </si>
  <si>
    <t>Фотобарабан для МФУ Canon MF 443dw</t>
  </si>
  <si>
    <t>Магнитный вал для МФУ Canon MF 443dw</t>
  </si>
  <si>
    <t>Каратрон для МФУ Canon MF 443dw</t>
  </si>
  <si>
    <t>Тонер для Canon IR 2206N</t>
  </si>
  <si>
    <t>Ракель для Canon IR 2206N</t>
  </si>
  <si>
    <t>Фотобарабан для Canon IR 2206N</t>
  </si>
  <si>
    <t>Магнитный вал для Canon IR 2206N</t>
  </si>
  <si>
    <t>Каратрон для Canon IR 2206N</t>
  </si>
  <si>
    <t>Тонер для Brother</t>
  </si>
  <si>
    <t>Фотобарабан Brother</t>
  </si>
  <si>
    <t>Usb modem 4G (WI-FI DONG)</t>
  </si>
  <si>
    <t>Для подключения ПК к глобальной сети интернет</t>
  </si>
  <si>
    <t xml:space="preserve">Картридж для плоттера Canon TM-300 в комплекте </t>
  </si>
  <si>
    <t>Печатающая головка для плоттера Canon TM-300 в комплекте</t>
  </si>
  <si>
    <t>Ёмкость для отработанных чернил (памперс) для плоттера Canon TM-300</t>
  </si>
  <si>
    <t>Картридж для плоттера HP Design Jet 500 в комплекте</t>
  </si>
  <si>
    <t>Печатающая головка для плоттера HP Design Jet 500 в комплекте</t>
  </si>
  <si>
    <t xml:space="preserve">Сетевой фильтр 5 розеток (пилот) </t>
  </si>
  <si>
    <t>Для подключения ПК и оргтехники</t>
  </si>
  <si>
    <t>Картридж для плоттера Canon IPF 770 в комплекте</t>
  </si>
  <si>
    <t>Печатающая головка для плоттера Canon IPF 770 в комплекте</t>
  </si>
  <si>
    <t>Ёмкость для отработанных чернил (памперс) для плоттера Canon IPF 770</t>
  </si>
  <si>
    <t>Форматиновая плата GL/2 для плоттера HP Designjet 510</t>
  </si>
  <si>
    <t>Внешний привод USB DVD-RW</t>
  </si>
  <si>
    <t>Для записи отётов на DVD диски</t>
  </si>
  <si>
    <t xml:space="preserve">Картридж HP C8543X МФУ НР LJ М9040 MFP </t>
  </si>
  <si>
    <t>Флеш память USB</t>
  </si>
  <si>
    <t xml:space="preserve">Для записи информации </t>
  </si>
  <si>
    <t>Термопаста GD900</t>
  </si>
  <si>
    <t>Для смазки процессоров на ПК</t>
  </si>
  <si>
    <t>Картридж принтера Samsung M2020</t>
  </si>
  <si>
    <t xml:space="preserve">Для замены </t>
  </si>
  <si>
    <t>АО "Узбекгеологоразведка" и Ташкентская ЦГРЭ</t>
  </si>
  <si>
    <t>Сурхон ПЭ 3 шт и Кашкадаря ПЭ 3 шт</t>
  </si>
  <si>
    <t>4шт для Геобанка Восточно-Курамин ПЭ - 1 шт, Алмалқкская ПЭ - 1 шт, Гиссарская ПЭ - 1 шт и Сурханская ПЭ - 1 шт.
10 шт для геол отделов всех полевых экспедиции, для использования в комондироваках по написанию проектов и отчетов</t>
  </si>
  <si>
    <t>Для внедрения  ПО Геобанк в 4 полевых экспедиции.
Восточно-Курамин. ПЭ - 5 шт, Алмалыкская ПЭ - 5 шт, Гиссарская ПЭ - 5 шт и Сурханская ПЭ - 5 шт.
Для управление драгоценных металлов 1шт и управление Цвет мет. -1шт. и упр. Цифровых техналогии - 1 шт.</t>
  </si>
  <si>
    <t>Процессора: 11th Gen Intel(R) Core(TM) i7-12700 2.50GHz 
Опиративная памят: Kingston DDR4 64GB Fury Beast RGB (32GBx2) 3600MHz (KF436C18BBAK2/64) Видеокарта: NVIDIA GeForce RTX 3070   Жёсткие диск: 2 ТБ</t>
  </si>
  <si>
    <t>Монитор:</t>
  </si>
  <si>
    <t xml:space="preserve">Монитор:  M27fw FHD 27 (4К) или аналог </t>
  </si>
  <si>
    <t>Для внедрения  ПО Геобанк в 4 полевых экспедиции.
Восточно-Курамин. ПЭ - 5 шт, Алмалыкская ПЭ - 5 шт, Гиссарская ПЭ - 5 шт и Сурханская ПЭ - 5 шт.
Для управление драгоценных металлов 1шт и управление Цвет мет. -4шт. и упр. Цифровых техналогии - 2 шт.</t>
  </si>
  <si>
    <t>Цвет мет. -5л. и упр. Цифровых техналогии - 5 л</t>
  </si>
  <si>
    <t>4 ТБ Внешний HDD Transcend StoreJet 25M3, USB 3.0, стальной серый</t>
  </si>
  <si>
    <t>Для управление драгоценных металлов 1шт и управление Цвет мет. -2шт. и упр. Цифровых техналогии - 1 шт.</t>
  </si>
  <si>
    <t>CANON 443 DW</t>
  </si>
  <si>
    <t>Для управление драгоценных металлов 1шт и управление Цвет мет. -1шт. и упр. Цифровых техналогии - 1 шт.</t>
  </si>
  <si>
    <t>Раздел Канцелярия</t>
  </si>
  <si>
    <t>АУП</t>
  </si>
  <si>
    <t>Карандаш цвевт. 24 цв</t>
  </si>
  <si>
    <t>Скотч</t>
  </si>
  <si>
    <t>DVD диск 4.7 GB</t>
  </si>
  <si>
    <t>DUBLE A</t>
  </si>
  <si>
    <t>Транспортир</t>
  </si>
  <si>
    <t>Elektronik  U-1005 14 разрядли (Дели)</t>
  </si>
  <si>
    <t>Памперс Canon ТМ-300</t>
  </si>
  <si>
    <t>Оригинальная емкость для отработанных чернил  для моделей TM-300,</t>
  </si>
  <si>
    <t>Бумага для плоттера А0+ 914мм*46м*50.8мм (80 г/м2)</t>
  </si>
  <si>
    <t>Плоттер учун</t>
  </si>
  <si>
    <t>Папка</t>
  </si>
  <si>
    <t>Для бумаг А4</t>
  </si>
  <si>
    <t>Скорошиватель</t>
  </si>
  <si>
    <t>10 листов</t>
  </si>
  <si>
    <t>20 листов</t>
  </si>
  <si>
    <t>Glossy Ink Jet Paper (A4, 135g)</t>
  </si>
  <si>
    <t>Клавиатура и мыш</t>
  </si>
  <si>
    <t>Redragon (RGB)</t>
  </si>
  <si>
    <t>Картридж</t>
  </si>
  <si>
    <t>CANON 443dw</t>
  </si>
  <si>
    <t>Чернила фото-черный</t>
  </si>
  <si>
    <t>L8180</t>
  </si>
  <si>
    <t>Чернила Pigment-Black</t>
  </si>
  <si>
    <t>Чернила Yellov</t>
  </si>
  <si>
    <t>Чернила Magento</t>
  </si>
  <si>
    <t>Чернила Cyan</t>
  </si>
  <si>
    <t>Чернила Grey</t>
  </si>
  <si>
    <t>Пружина для переплета пласмассовий (зажим)</t>
  </si>
  <si>
    <t>5мм</t>
  </si>
  <si>
    <t>Пружина для переплета пласмассовий  (зажим)</t>
  </si>
  <si>
    <t>10мм</t>
  </si>
  <si>
    <t>15мм</t>
  </si>
  <si>
    <t>20мм</t>
  </si>
  <si>
    <t>30мм</t>
  </si>
  <si>
    <t>40мм</t>
  </si>
  <si>
    <t>Пленка для переплета А3</t>
  </si>
  <si>
    <t>Картон для переплета А3</t>
  </si>
  <si>
    <t>Катридж для плоттера ТМ-300</t>
  </si>
  <si>
    <t>MBK,BK,Y,M,C</t>
  </si>
  <si>
    <t>Стикер</t>
  </si>
  <si>
    <t>Цветной</t>
  </si>
  <si>
    <t>Батарейка</t>
  </si>
  <si>
    <t>Для мышка</t>
  </si>
  <si>
    <t>8 мм</t>
  </si>
  <si>
    <t>Зажим</t>
  </si>
  <si>
    <t>Для бумаг 8мм</t>
  </si>
  <si>
    <t>Клей карандаш</t>
  </si>
  <si>
    <t>Stick Dolphin 35г</t>
  </si>
  <si>
    <t>Графитные карандаши для рисования</t>
  </si>
  <si>
    <t>Стикер закладки в виде флажков 5 неоновых цветов пластиковые</t>
  </si>
  <si>
    <t>Маркер ручка (чёрный)</t>
  </si>
  <si>
    <t>Deli 0.5-1мм</t>
  </si>
  <si>
    <t>Для Степлер  скоба</t>
  </si>
  <si>
    <t>Staples № 10 ABS92757</t>
  </si>
  <si>
    <t>Папка вкладыш</t>
  </si>
  <si>
    <t>Exact right choice</t>
  </si>
  <si>
    <t>Линейка</t>
  </si>
  <si>
    <t>Бренд Mazari,М-5561 метал, 30 см</t>
  </si>
  <si>
    <t>Кнопка канцелясркая</t>
  </si>
  <si>
    <t>Deli E0031</t>
  </si>
  <si>
    <t>CANON MF450</t>
  </si>
  <si>
    <t>Картридж для плоттера</t>
  </si>
  <si>
    <t>Canon Maintenance Cartridge MC31 для плоттера Canon TM-300</t>
  </si>
  <si>
    <t>архивная с повязкой 5 см</t>
  </si>
  <si>
    <t>архивная с повязкой 8 см</t>
  </si>
  <si>
    <t>архивная с повязкой 12 см</t>
  </si>
  <si>
    <t>архивная с повязкой 15 см</t>
  </si>
  <si>
    <t>Шредер</t>
  </si>
  <si>
    <t>Уничтожитель бумага DELI 9917 P-4 4x40 mm</t>
  </si>
  <si>
    <t>Пружина переплет  пластины</t>
  </si>
  <si>
    <t>Пластин Agent press-binding 17.5 mm</t>
  </si>
  <si>
    <t>Пластин Agent press-binding 20 mm</t>
  </si>
  <si>
    <t>Пластин Agent press-binding 25 mm</t>
  </si>
  <si>
    <t>Пластин Agent press-binding 32 mm</t>
  </si>
  <si>
    <t>Пластин Agent press-binding 35 mm</t>
  </si>
  <si>
    <t>Переплёт  аппарат</t>
  </si>
  <si>
    <t>DELI 3871</t>
  </si>
  <si>
    <t>Горизонтальный органайзер для дела</t>
  </si>
  <si>
    <t>Регистор цветной</t>
  </si>
  <si>
    <t>Красный 10 чёрный 10 зилёный 10</t>
  </si>
  <si>
    <t>Файл папка</t>
  </si>
  <si>
    <t>Перфофайл</t>
  </si>
  <si>
    <t>Чернила для заправки печати</t>
  </si>
  <si>
    <t>Синий</t>
  </si>
  <si>
    <t>Ручка гель</t>
  </si>
  <si>
    <t>Номер12</t>
  </si>
  <si>
    <t>Ручка гель (чёрный)</t>
  </si>
  <si>
    <t>7мм</t>
  </si>
  <si>
    <t>12мм</t>
  </si>
  <si>
    <t>UPS</t>
  </si>
  <si>
    <t>Дракол</t>
  </si>
  <si>
    <t>Ластик</t>
  </si>
  <si>
    <t>Биндер клипс 20мм</t>
  </si>
  <si>
    <t>Нож канцелярский</t>
  </si>
  <si>
    <t>Самоклейка бумага</t>
  </si>
  <si>
    <t>(76х76) мм</t>
  </si>
  <si>
    <t>Маркер для доск</t>
  </si>
  <si>
    <t>Синий красный черный</t>
  </si>
  <si>
    <t>Пилот</t>
  </si>
  <si>
    <t>5м</t>
  </si>
  <si>
    <t>Папка-скоросшиватель</t>
  </si>
  <si>
    <t>Папка-регистр широкий</t>
  </si>
  <si>
    <t>Папка-регистр узкий</t>
  </si>
  <si>
    <t>Резинка (ластик)</t>
  </si>
  <si>
    <t>Скотч малинк</t>
  </si>
  <si>
    <t>Пластиковый скоросшиватель простой</t>
  </si>
  <si>
    <t>Файл-лист одинарный</t>
  </si>
  <si>
    <t>Сумка-портфель для документов (УЗ/ЦС)</t>
  </si>
  <si>
    <t>Пальчиковые батарейки большой для компьютерных мышей (типа Дурасел)</t>
  </si>
  <si>
    <t>Лупа геологическая. Увеличение - 20х.,  Диаметр линзы - 21 мм. Оптика -  стекло.  Корпус  - металл.</t>
  </si>
  <si>
    <t>Файл - регистр А4 LF 2763 Sunwood, формата А4, ширина 4,5 см.</t>
  </si>
  <si>
    <t>4 цвета</t>
  </si>
  <si>
    <t xml:space="preserve">Примечание: Согласно годовому плану-графику количество закупаемых товаров (работ,услуг) будет оптимизировано по факту приобретения. </t>
  </si>
  <si>
    <t>Eslatma: Yillik jadvalga muvofiq, xarid qilingan tovarlar (ishlar, xizmatlar) miqdori, xarid faktidan kelib chiqib optimallashtiriladi.</t>
  </si>
  <si>
    <t>________________ Ш.П.Алимов</t>
  </si>
  <si>
    <t xml:space="preserve">Трос в сборе, главной лебёдки диаметром 22 мм с серьгой (30м) </t>
  </si>
  <si>
    <t xml:space="preserve">Трос в сборе, главной лебёдки диаметром 19 мм с серьгой (30м) </t>
  </si>
  <si>
    <t xml:space="preserve">Трос в сборе, главной лебёдки диаметром 24 мм с серьгой (23м) </t>
  </si>
  <si>
    <t>Комплектация - клавиатура и мышь
Назначение - настольный компьютер
Интерфейс подключения - USB
Цвет - черный
Трекбол - нет
Конструкция - классическая
Цифровой блок - есть
Тип - мембранная
Количество клавиш - 104
Мышь - Тип - оптическая светодиодная
Дизайн - для правой и левой руки
Колесо прокрутки - есть
Количество клавиш - 4</t>
  </si>
  <si>
    <t xml:space="preserve">Бошқарув раиси </t>
  </si>
  <si>
    <t>Все экспедиции</t>
  </si>
  <si>
    <t>Контракт</t>
  </si>
  <si>
    <t>Кол-во закупки</t>
  </si>
  <si>
    <t>Остаток</t>
  </si>
  <si>
    <r>
      <t xml:space="preserve">Диэлектрические перчатки резиновые используются в качестве основного средства защиты от поражения высоким напряжением до и вышее 1 кВ. Выполнены из листовой резины методом штанцевания, по этому они могут ещё называться диэлектрические перчатки штанцованные. По отношению к бесшовным перчаткам, они более тонкие и более удобные для работы с мелкими деталями и инструментами.  </t>
    </r>
    <r>
      <rPr>
        <b/>
        <sz val="11"/>
        <rFont val="Times New Roman"/>
        <family val="1"/>
        <charset val="204"/>
      </rPr>
      <t xml:space="preserve">ЭВ-350 мм, </t>
    </r>
    <r>
      <rPr>
        <sz val="11"/>
        <rFont val="Times New Roman"/>
        <family val="1"/>
        <charset val="204"/>
      </rPr>
      <t>ТУ-38305-05-257-89, Артикул- П-0213082</t>
    </r>
  </si>
  <si>
    <r>
      <t>Предназначены для дополнительной защиты от электрического тока при работе на закрытых и, при отсутствии осадков, на открытых электроустановках при напряжении 20 Кв и при температуре от -30 до +50 </t>
    </r>
    <r>
      <rPr>
        <vertAlign val="superscript"/>
        <sz val="11"/>
        <rFont val="Times New Roman"/>
        <family val="1"/>
        <charset val="204"/>
      </rPr>
      <t>0</t>
    </r>
    <r>
      <rPr>
        <sz val="11"/>
        <rFont val="Times New Roman"/>
        <family val="1"/>
        <charset val="204"/>
      </rPr>
      <t>С.</t>
    </r>
  </si>
  <si>
    <r>
      <t xml:space="preserve">Диэлектрический резиновый коврик МЕРИОН, </t>
    </r>
    <r>
      <rPr>
        <b/>
        <sz val="11"/>
        <rFont val="Times New Roman"/>
        <family val="1"/>
        <charset val="204"/>
      </rPr>
      <t>500х500х6 мм, черный, КОВ404</t>
    </r>
    <r>
      <rPr>
        <sz val="11"/>
        <rFont val="Times New Roman"/>
        <family val="1"/>
        <charset val="204"/>
      </rPr>
      <t xml:space="preserve"> предназначен для защиты от возможного поражения электрическим током.   Толщина: 6±1 мм; Защитные свойства: Эн, Эв; Температурный режим эксплуатации: от -15 до +40 0С; Нормативно-техническая документация: ГОСТ 4997-75 Размер 500*500*5</t>
    </r>
  </si>
  <si>
    <r>
      <t>Частотный преобразователь</t>
    </r>
    <r>
      <rPr>
        <b/>
        <sz val="11"/>
        <rFont val="Times New Roman"/>
        <family val="1"/>
        <charset val="204"/>
      </rPr>
      <t xml:space="preserve"> DELIXI 220 V 2,2- кВт</t>
    </r>
    <r>
      <rPr>
        <sz val="11"/>
        <rFont val="Times New Roman"/>
        <family val="1"/>
        <charset val="204"/>
      </rPr>
      <t xml:space="preserve"> CDI-EМ60G2R2S2B Частотные преобразователи Delixi; Характеристики Подключаемый электродвигатель:2,2 кВт Номинальное выходное напряжение:220 V AC. Номинальное входное напряжение однофазное: 220 V</t>
    </r>
  </si>
  <si>
    <r>
      <t>Частотный преобразователь</t>
    </r>
    <r>
      <rPr>
        <b/>
        <sz val="11"/>
        <rFont val="Times New Roman"/>
        <family val="1"/>
        <charset val="204"/>
      </rPr>
      <t xml:space="preserve"> DELIXI 380 V 5,5- кВт</t>
    </r>
    <r>
      <rPr>
        <sz val="11"/>
        <rFont val="Times New Roman"/>
        <family val="1"/>
        <charset val="204"/>
      </rPr>
      <t xml:space="preserve"> CDI-EM60G5R5T4  Частотные преобразователи Delixi; Характеристики Подключаемый электродвигатель:5,5 кВт Номинальное выходное напряжение 3 фазы:380 V AC. Номинальное входное напряжение трехфазное: 380 V</t>
    </r>
  </si>
  <si>
    <r>
      <t xml:space="preserve">Светильник </t>
    </r>
    <r>
      <rPr>
        <b/>
        <sz val="11"/>
        <rFont val="Times New Roman"/>
        <family val="1"/>
        <charset val="204"/>
      </rPr>
      <t>RKU COBRA LED COB LE042B 100W 6000K1;</t>
    </r>
    <r>
      <rPr>
        <sz val="11"/>
        <rFont val="Times New Roman"/>
        <family val="1"/>
        <charset val="204"/>
      </rPr>
      <t>Уличные светильники РКУ (LED) Предназначение: Освещение улиц, автостоянок, площадей и других открытых общественных мест.</t>
    </r>
  </si>
  <si>
    <r>
      <t xml:space="preserve">Солнечный прожектор Solar RKU2 </t>
    </r>
    <r>
      <rPr>
        <b/>
        <sz val="11"/>
        <rFont val="Times New Roman"/>
        <family val="1"/>
        <charset val="204"/>
      </rPr>
      <t>150W</t>
    </r>
    <r>
      <rPr>
        <sz val="11"/>
        <rFont val="Times New Roman"/>
        <family val="1"/>
        <charset val="204"/>
      </rPr>
      <t>. Не требует электротока и не требует монтажа электропроводки.Позволяет экономить электроэнергию, не потребляя электричество из сети.Резервное питание до 8 часов</t>
    </r>
  </si>
  <si>
    <r>
      <rPr>
        <b/>
        <sz val="11"/>
        <rFont val="Times New Roman"/>
        <family val="1"/>
        <charset val="204"/>
      </rPr>
      <t>AK-FLD 100W "AKFA LIGHTING"</t>
    </r>
    <r>
      <rPr>
        <sz val="11"/>
        <rFont val="Times New Roman"/>
        <family val="1"/>
        <charset val="204"/>
      </rPr>
      <t xml:space="preserve"> Характеристики: Мощность: 100В;Цветовая температура: 6500 K Напряжение: 120-250 V Степень защиты: IP 65 Частота: 50-60 Hz Световой поток: 9000-10500 Lm Эффективность: 60-70 Lm/W </t>
    </r>
  </si>
  <si>
    <r>
      <t> АИР112М2 – трехфазный асинхронный электродвигатель</t>
    </r>
    <r>
      <rPr>
        <b/>
        <sz val="11"/>
        <rFont val="Times New Roman"/>
        <family val="1"/>
        <charset val="204"/>
      </rPr>
      <t xml:space="preserve"> 5,5 кВт 3000 об/мин </t>
    </r>
    <r>
      <rPr>
        <sz val="11"/>
        <rFont val="Times New Roman"/>
        <family val="1"/>
        <charset val="204"/>
      </rPr>
      <t>общепромышленного назначения с короткозамкнутым ротором. Мощность 5,5 кВт Частота вращения поля статора 3000 об/мин Скорость вращения вала 2895 оборотов Тип Асинхронный Напряжение питания Трехфазное, 220/380, 380/660 вольт Монтажное исполнение -комбинированное;</t>
    </r>
  </si>
  <si>
    <r>
      <t>Калорифер</t>
    </r>
    <r>
      <rPr>
        <b/>
        <sz val="11"/>
        <rFont val="Times New Roman"/>
        <family val="1"/>
        <charset val="204"/>
      </rPr>
      <t xml:space="preserve"> 15квт 380в</t>
    </r>
    <r>
      <rPr>
        <sz val="11"/>
        <rFont val="Times New Roman"/>
        <family val="1"/>
        <charset val="204"/>
      </rPr>
      <t xml:space="preserve"> Ремонт и строительство на сегодняшний день становятся очень популярными, но для качественного выполнения работы необходимо иметь не менее качественные инструменты и приборы. Наша компания предлагает широкий ассортимент строительных инструментов и аппаратов по приятным ценам. </t>
    </r>
  </si>
  <si>
    <t xml:space="preserve">1) махсус автомобиль КАМАЗ-43118  дав.раками 10 426 LCA га 1 донадан ўрнатилинади ва оғир юкларни кўтариб тушириш учун   2) махсус автомобиль ГАЗ-33081  дав.раками 10 462 ZAA га 1 донадан ўрнатилинади ва оғир юкларни кўтариб тушириш учун       </t>
  </si>
  <si>
    <t xml:space="preserve">Партияга янги келган махсус каротаж автостанцияларга:                   1) махсус автомобиль КАМАЗ-43118  дав.раками 10 426 LCA га 1 к-т                                                                                                           2)махсус автомобиль ГАЗ-33081  дав.раками 10 462 ZAA га 1 к-т    3) махсус автомобиль УАЗ-39099504   дав.раками 10   349 SBA га 1 к-т                                                                                                              4) махсус автомобиль УАЗ-39099504   дав.раками 01  986 FJA га 1 к-т                                                                                                              5) махсус автомобиль УАЗ-390995 дав.раками 01 065 DLA га 1 к-т  6) махсус автомобиль УАЗ-390995 дав.раками 85 578 КАА га 1 к-тдан тарқатилади. Мақсад махсус автомобильларга ўрнатилган  каротаж станциясиялардаги  асбобларини уз вақтида таъмирлаш ишлари олиб бориш учун. </t>
  </si>
  <si>
    <t>Acer Predator Helios 300 Notebook                                (i5-11400H/RTX3060)</t>
  </si>
  <si>
    <t>28.1R26                               (720R665)</t>
  </si>
  <si>
    <t>К1012421 от 26.02.2024г</t>
  </si>
  <si>
    <t>235/60R18</t>
  </si>
  <si>
    <t>xt.xarid</t>
  </si>
  <si>
    <t>2543827.1.1 от 21.02.2024</t>
  </si>
  <si>
    <t>К1012420 от 26.02.2024г</t>
  </si>
  <si>
    <t>К1012419 от 26.02.2024г</t>
  </si>
  <si>
    <t>2858537.1.1 от 01.04.2024г</t>
  </si>
  <si>
    <t>2889334.1.1 от 08.05.2024г</t>
  </si>
  <si>
    <t>2888877.1.1 от 08.05.2024г</t>
  </si>
  <si>
    <t>214842 от 27.02.2024</t>
  </si>
  <si>
    <t>2885451.1.1 от 05.05.2024г</t>
  </si>
  <si>
    <t>676667 от 11.05.2024г</t>
  </si>
  <si>
    <t>2885460.1.1 от 05.05.2024г</t>
  </si>
  <si>
    <t>К1021081 от 16.05.2024г            К1021541 от 21.05.2024г</t>
  </si>
  <si>
    <t>2912330 от 20.05.2024г</t>
  </si>
  <si>
    <t>Диэлектрический резиновый коврик МЕРИОН, 500х500х5 мм, черный, КОВ404 предназначен для защиты от возможного поражения электрическим током.   Толщина: 6±1 мм; Защитные свойства: Эн, Эв; Температурный режим эксплуатации: от -15 до +40 0С; Нормативно-техническая документация: ГОСТ 4997-75 Размер 500*500*5</t>
  </si>
  <si>
    <t>2716538.1.1 от 29.03.2024г</t>
  </si>
  <si>
    <t>2775257.1.1 от 18.04.2024г</t>
  </si>
  <si>
    <t>К1016455 от 15.04.2024</t>
  </si>
  <si>
    <t>0147667 от 20.11.2022</t>
  </si>
  <si>
    <t>0147668 от 20.11.2022</t>
  </si>
  <si>
    <t>2808280.1.1 от 25.04.2024г</t>
  </si>
  <si>
    <t>К1010686 от 30.01.2024г</t>
  </si>
  <si>
    <t>К1014932 от 27.03.2024</t>
  </si>
  <si>
    <t>К1022068 от 24.05.2024</t>
  </si>
  <si>
    <t>xarid.uzex</t>
  </si>
  <si>
    <t xml:space="preserve">2079215 от 15.02.2024г             2190405 от 07.04.2024г </t>
  </si>
  <si>
    <t>К1009812 от 12.01.2024г</t>
  </si>
  <si>
    <t>К1009813 от 12.01.2024г</t>
  </si>
  <si>
    <t>К1010514 от 25.01.2024г</t>
  </si>
  <si>
    <t>К1009861 от 15.01.2024г К1013685 от 13.03.2024г К1016591 от 15.04.2024г</t>
  </si>
  <si>
    <t>К1009862 от 15.01.2024г К1013684 от 13.03.2024г К1016590 от 15.04.2024г</t>
  </si>
  <si>
    <t xml:space="preserve"> К1010589 от 09.01.2024г К1014031 от 18.03.2024г К1016690 от 16.04.204г</t>
  </si>
  <si>
    <t>К1013641 от 12.03.2024г К 1016580 от 15.04.2024г К1017049 от 19.04.2024г К1018916 от 30.04.2024г К1020481 от 13.05.2024г</t>
  </si>
  <si>
    <t>К1013642 от 12.03.2024г К1016581 от 15.04.2024г</t>
  </si>
  <si>
    <t>2394067.1.1 от 19.01.2024г 2735212.1.1 от 03.04.2024г 2861425.1.1 от 03.05.2024г</t>
  </si>
  <si>
    <t>2714975.1.1 от 05.04.2024г</t>
  </si>
  <si>
    <t>Горизонтальные лоток</t>
  </si>
  <si>
    <t>2726116.1.1 от 09.04.2024</t>
  </si>
  <si>
    <t>№2508615.1.1 от 12.02.2024</t>
  </si>
  <si>
    <t>№2206644 от 17.04.2024</t>
  </si>
  <si>
    <t>100 литров по годовой + 300 литров по доп заявке</t>
  </si>
  <si>
    <t>№1989943.1.1 от 16.10.2023</t>
  </si>
  <si>
    <t xml:space="preserve">360142 от 03.06.2024 </t>
  </si>
  <si>
    <t>Отбор</t>
  </si>
  <si>
    <t>К1012290 от 23.02.2024г К1022854 от 31.05.2024</t>
  </si>
  <si>
    <t>К1022853 от 31.05.2024</t>
  </si>
  <si>
    <t>2932670 от 24.05.2024</t>
  </si>
  <si>
    <t>2941409.1.1 от 27.05.2024</t>
  </si>
  <si>
    <t>К1012288 от 23.02.2024г 228346 от 07.06.2024г</t>
  </si>
  <si>
    <t xml:space="preserve">К1012289 от 23.02.2024г К1022852 от 31.05.2024 </t>
  </si>
  <si>
    <t>228346 от 07.06.2024г</t>
  </si>
  <si>
    <t>Cooperation.uz                                                            Аукцион на понижение стартовой цены</t>
  </si>
  <si>
    <t>225380 от 20.05.2024г. 228346 от 07.06.2024г</t>
  </si>
  <si>
    <t>К1024177 от 13.06.2024г</t>
  </si>
  <si>
    <t>К1012416 от 26.02.2024г К1024484 от 13.06.2024г</t>
  </si>
  <si>
    <t>К1012417 от26.02.2024г К1024171 от 11.06.2024г.</t>
  </si>
  <si>
    <t>К1024172 от 11.06.2024г.</t>
  </si>
  <si>
    <t>К1012419 от 26.02.2024г К1024482 от 11.06.2024г</t>
  </si>
  <si>
    <t>К1012414 от 26.02.2024г К1024481 от 13.06.2024г.</t>
  </si>
  <si>
    <t>К1024481 от 13.06.2024г.</t>
  </si>
  <si>
    <t>К1012420 от 26.02.2024г К1024175 от 13.06.2024г</t>
  </si>
  <si>
    <t>2853126.1.1 от 29.04.2024г 3080879.1.1 от 24.06.2024г</t>
  </si>
  <si>
    <t>2853139.1.1 от 29.04.2024г 3183413.1.1 от 15.07.2024г.</t>
  </si>
  <si>
    <t>2853144.1.1 от 29.04.2024г 3087956.1.1 от 27.06.2024г.</t>
  </si>
  <si>
    <t>2853159.1.1 от 29.04.2024г 3080964.1.1 от 24.06.2024г.</t>
  </si>
  <si>
    <t>2853112.1.1 от 29.04.2024г 3161801.1.1 от 11.06.2024г.</t>
  </si>
  <si>
    <t>3080929.1.1 от 24.06.2024г</t>
  </si>
  <si>
    <t>3080939.1.1 от 24.06.2024г</t>
  </si>
  <si>
    <t>3088004.1.1 от 27.06.2024г. 3161759.1.1 от 11.07.2024г</t>
  </si>
  <si>
    <t>2858556.1.1 от 01.04.2024г        2980687 от 30.05.2024 3100303.1.1 от 27.06.2024г.</t>
  </si>
  <si>
    <t>2888783.1.1 от 08.05.2024г 3100293.1.1 от 27.06.2024г.</t>
  </si>
  <si>
    <t>2874636.1.1 от 05.05.2024г 3162613.1.1 от 11.07.2024г</t>
  </si>
  <si>
    <t>2453341 от 13.07.2024г.</t>
  </si>
  <si>
    <t>214842 от 27.02.2024 232893 от 15.07.2024г</t>
  </si>
  <si>
    <t xml:space="preserve">К1011294 от 08.02.2024г  К1014145 от 19.03.2024г  К1019736 от 06.05.2024г  К1022806 от 30.05.2024г </t>
  </si>
  <si>
    <t>К1011295 от 08.02.2024г  К1022812 от 30.05.2024г  К1029680 от 25.07.2024г</t>
  </si>
  <si>
    <t>2821520.1.1 от 22.04.2024г 3098237.1.1 от 27.06.2024г 3248265.1.1 от 29.07.2024г.</t>
  </si>
  <si>
    <t>2823123.1.1 от 22.04.2024г 3098222.1.1 от 27.06.2024г. 3248259.1.1 от 29.07.2024г.</t>
  </si>
  <si>
    <t>2821524.1.1 от 22.04.2024г 3098217.1.1 от 27.06.2024г. 3211551.1.1 от 22.07.2024г.</t>
  </si>
  <si>
    <t>3098233.1.1 от 27.06.2024г.</t>
  </si>
  <si>
    <t>2813366.1.1 от 22.04.2024г 3098244.1.1 от 27.06.2024г.</t>
  </si>
  <si>
    <t>3211536.1.1 от 22.07.2024г.</t>
  </si>
  <si>
    <t>3161772.1.1 от 11.07.2024г.</t>
  </si>
  <si>
    <t>2858596.1.1 от 01.04.2024г 3198389.1.1 от 18.07.2024г.</t>
  </si>
  <si>
    <t>3198404.1.1 от 18.07.2024г.</t>
  </si>
  <si>
    <t>3205911.1.1 от 19.07.2024г.</t>
  </si>
  <si>
    <t>3205926.1.1 от 19.07.2024г.</t>
  </si>
  <si>
    <t>2858585.1.1 от 01.04.2024г 3205935.1.1 от 19.07.2024г.</t>
  </si>
  <si>
    <t>3210810.1.1 от 22.07.2024г</t>
  </si>
  <si>
    <t>2857678.1.1 от 01.04.2024г 3183422.1.1 от 15.07.2024г 3205916.1.1 от 19.07.2024г.</t>
  </si>
  <si>
    <t>2348591 от 05.06.2024г</t>
  </si>
  <si>
    <t>2348592 от 05.06.2024г</t>
  </si>
  <si>
    <t>2374296 от 13.06.2024г.</t>
  </si>
  <si>
    <t>2468608 от 19.07.2024г</t>
  </si>
  <si>
    <t>2372634 от 13.06.2024г</t>
  </si>
  <si>
    <t>2372641 от 13.06.2024г</t>
  </si>
  <si>
    <t>2372642 от 13.06.2024г</t>
  </si>
  <si>
    <t>2482604 от 25.07.2024г</t>
  </si>
  <si>
    <t>2417752 от 01.07.2024г</t>
  </si>
  <si>
    <t>2428693 от 05.07.2024г.</t>
  </si>
  <si>
    <t>2417749 от 01.07.2024г.</t>
  </si>
  <si>
    <t>2417750 от 01.07.2024г</t>
  </si>
  <si>
    <t>2417756 от 01.07.2024г.</t>
  </si>
  <si>
    <t>3035861.1.1 от 20.06.2024г.</t>
  </si>
  <si>
    <t xml:space="preserve">2932670 от 24.05.2024 </t>
  </si>
  <si>
    <t>3075331.1.1 от 28.06.2024г</t>
  </si>
  <si>
    <t>227508 от 31.05.2024г</t>
  </si>
  <si>
    <t>2718123.1.1 от 04.04.2024г 2950389.1.1 от 23.05.2024г</t>
  </si>
  <si>
    <t>226920 от 29.05.2024г</t>
  </si>
  <si>
    <t>№22 от 26.01.2024            №76 от 18.03.2024              №114 от 30.04.2024             №144 от 03.06.2024             №177 от 15.07.2024</t>
  </si>
  <si>
    <t>№43 от 16.02.2024                №97 от 08.04.2024         №145.03.06.2024</t>
  </si>
  <si>
    <t>№2985572.1.1 от 31.05.2024</t>
  </si>
  <si>
    <t>№2787385.1.1 от 15.04.2024           №3060584.1.1 от 17.06.2024</t>
  </si>
  <si>
    <t>№2731013.1.1 от 31.03.2024     №2439746.1.1 от 29.01.2024            №2967421.1.1 от 26.05.2024</t>
  </si>
  <si>
    <t xml:space="preserve">№2731010.1.1 от 31.03.2024      №3060585.1.1 от 18.06.2024 </t>
  </si>
  <si>
    <t>№3151301.1.1 от 07.07.2024</t>
  </si>
  <si>
    <t>№3015822.1.1 от 07.06.2024</t>
  </si>
  <si>
    <t>№ К1013182 от 05.03.2024</t>
  </si>
  <si>
    <t>№ К1023411 от 05.06.2024</t>
  </si>
  <si>
    <t>№ К1020414 от 10.05.2024</t>
  </si>
  <si>
    <t>№ К1020484 от 13.05.2024</t>
  </si>
  <si>
    <t>№ К1020483 от 13.05.2024</t>
  </si>
  <si>
    <t>№ К1020885 от 15.05.2024</t>
  </si>
  <si>
    <t>№3089362.1.1 от 26.06.2024                   №3182192.1.1 от 15.07.2024</t>
  </si>
  <si>
    <t>№2900206.1.1 от 10.05.2024</t>
  </si>
  <si>
    <t>№3249390.1.1 от 29.07.2024</t>
  </si>
  <si>
    <t>№2954732.1.1 от 27.05.2024</t>
  </si>
  <si>
    <t>№К1022235 от 27.05.2024                     №К1022538 от 28.05.2024</t>
  </si>
  <si>
    <t>№3037478.1.1 от 20.06.2024</t>
  </si>
  <si>
    <t>№3037618.1.1 от 20.06.2024</t>
  </si>
  <si>
    <t>№2390159 от 21.06.2024 (левый)                        №2390195 от 21.06.2024 (правый)</t>
  </si>
  <si>
    <t>№ К1019960 от 07.05.2024</t>
  </si>
  <si>
    <t>№3043715.1.1 от 14.06.2024                 №3134813.1.1 от 08.07.2024             №К1027454 от 08.07.2024</t>
  </si>
  <si>
    <t>№2858162.1.1 от 02.05.2024         №3209970 от 22.07.2024</t>
  </si>
  <si>
    <t>№2858161.1.1 от 01.05.2024             №3130105.1.1 от 04.07.2024</t>
  </si>
  <si>
    <t>№2821080.1.1 от 22.04.2024</t>
  </si>
  <si>
    <t xml:space="preserve">К1022531 от 28.05.2024 </t>
  </si>
  <si>
    <t xml:space="preserve">2978477.1.1 от 30.05.2024г   </t>
  </si>
  <si>
    <t>2302198.1.1. от 27.12.2023г К1028752 от 17.07.2024г. К1030091 от 30.07.2024г.</t>
  </si>
  <si>
    <t>xt.xarid                                                            Cooperation.uz</t>
  </si>
  <si>
    <t>K1023171 от 03.06.2024 К1027293 от 05.07.2024г.</t>
  </si>
  <si>
    <r>
      <t>К1009997 от 17.01.2024г К1023457 от 05.06.2024г. К1027325 от 05.07.2024г</t>
    </r>
    <r>
      <rPr>
        <b/>
        <sz val="11"/>
        <color rgb="FFFF0000"/>
        <rFont val="Times New Roman"/>
        <family val="1"/>
        <charset val="204"/>
      </rPr>
      <t xml:space="preserve"> (рег)</t>
    </r>
  </si>
  <si>
    <r>
      <t>2942015.1.1 от 22.05.2024г          2413424 от 29.06.2024г.</t>
    </r>
    <r>
      <rPr>
        <sz val="11"/>
        <color rgb="FFFF0000"/>
        <rFont val="Times New Roman"/>
        <family val="1"/>
        <charset val="204"/>
      </rPr>
      <t xml:space="preserve"> (рег)</t>
    </r>
    <r>
      <rPr>
        <sz val="11"/>
        <color theme="1"/>
        <rFont val="Times New Roman"/>
        <family val="1"/>
        <charset val="204"/>
      </rPr>
      <t xml:space="preserve"> 2449502 от 12.07.2024г</t>
    </r>
  </si>
  <si>
    <t>К1010239 от 22.01.2024г К1025634 от 25.06.2024г.</t>
  </si>
  <si>
    <r>
      <t>К1012047 от 21.02.2024г N1000163 от 08.05.2024г К1023386 от 05.06.2024г К1001584 от 12.06.2024г К1002656 от 02.07.2024г.</t>
    </r>
    <r>
      <rPr>
        <b/>
        <sz val="11"/>
        <color rgb="FFFF0000"/>
        <rFont val="Times New Roman"/>
        <family val="1"/>
        <charset val="204"/>
      </rPr>
      <t xml:space="preserve"> (рег)</t>
    </r>
  </si>
  <si>
    <t>2449614 от 12.07.2024г      244601 от 12.07.2024г</t>
  </si>
  <si>
    <t>2449599 от 12.07.2024г.</t>
  </si>
  <si>
    <t xml:space="preserve">350344 от 26.04.2024г </t>
  </si>
  <si>
    <t>N1000153 от 08.05.2024г N1001585 от 12.06.2024г. N1003649 от 23.07.2024г.</t>
  </si>
  <si>
    <r>
      <t xml:space="preserve">К1014095 от 18.03.2024г N1002658 от 02.07.2024г </t>
    </r>
    <r>
      <rPr>
        <b/>
        <sz val="11"/>
        <color rgb="FFFF0000"/>
        <rFont val="Times New Roman"/>
        <family val="1"/>
        <charset val="204"/>
      </rPr>
      <t>(рег)</t>
    </r>
  </si>
  <si>
    <t>3033877.1.1 от 12.06.2024г.</t>
  </si>
  <si>
    <r>
      <t xml:space="preserve">К1012977 от 04.03.2024г К1026562 от 02.07.2024г </t>
    </r>
    <r>
      <rPr>
        <b/>
        <sz val="11"/>
        <color rgb="FFFF0000"/>
        <rFont val="Times New Roman"/>
        <family val="1"/>
        <charset val="204"/>
      </rPr>
      <t>(рег)</t>
    </r>
  </si>
  <si>
    <t>7017736 от 10.06.2024</t>
  </si>
  <si>
    <t>?</t>
  </si>
  <si>
    <t>3235418.1.1 от 31.07.2024</t>
  </si>
  <si>
    <t>К1029397 от 23.07.2024г.</t>
  </si>
  <si>
    <t>К1029438 от 23.07.2024г.</t>
  </si>
  <si>
    <t>К1029455 от 23.07.2024г</t>
  </si>
  <si>
    <t>К1029445 от 23.07.2024г</t>
  </si>
  <si>
    <t>K1025517 от 24.06.2024г.</t>
  </si>
  <si>
    <t>K1025518 от 24.06.2024г.</t>
  </si>
  <si>
    <t>370428 от 03.07.2024г.</t>
  </si>
  <si>
    <t>369975 от 03.07.2024г.</t>
  </si>
  <si>
    <t>369971 от 03.07.2024г.</t>
  </si>
  <si>
    <t>369973 от 03.07.2024г.</t>
  </si>
  <si>
    <t>374616 от 22.07.2024г.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</si>
</sst>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3" formatCode="_-* #,##0.00_-;\-* #,##0.00_-;_-* &quot;-&quot;??_-;_-@_-"/>
    <numFmt numFmtId="164" formatCode="_-* #,##0.00\ _₽_-;\-* #,##0.00\ _₽_-;_-* &quot;-&quot;??\ _₽_-;_-@_-"/>
    <numFmt numFmtId="165" formatCode="_-* #,##0.00_р_._-;\-* #,##0.00_р_._-;_-* &quot;-&quot;??_р_._-;_-@_-"/>
    <numFmt numFmtId="166" formatCode="#,##0.00_ ;[Red]\-#,##0.00\ "/>
    <numFmt numFmtId="167" formatCode="#,##0_ ;[Red]\-#,##0\ "/>
    <numFmt numFmtId="168" formatCode="0.0"/>
    <numFmt numFmtId="169" formatCode="General_)"/>
    <numFmt numFmtId="170" formatCode="#,##0.0_ ;[Red]\-#,##0.0\ "/>
    <numFmt numFmtId="171" formatCode="[$-419]General"/>
    <numFmt numFmtId="172" formatCode="[$-419]0"/>
    <numFmt numFmtId="173" formatCode="#,##0.000_ ;[Red]\-#,##0.000\ "/>
    <numFmt numFmtId="174" formatCode="#,##0.0"/>
    <numFmt numFmtId="175" formatCode="_-* #,##0_-;\-* #,##0_-;_-* &quot;-&quot;??_-;_-@_-"/>
    <numFmt numFmtId="176" formatCode="_-* #,##0.00\ [$UZS]_-;\-* #,##0.00\ [$UZS]_-;_-* &quot;-&quot;??\ [$UZS]_-;_-@_-"/>
    <numFmt numFmtId="177" formatCode="#,##0_ ;\-#,##0\ "/>
    <numFmt numFmtId="178" formatCode="_-* #,##0\ _₽_-;\-* #,##0\ _₽_-;_-* &quot;-&quot;??\ _₽_-;_-@_-"/>
    <numFmt numFmtId="179" formatCode="_-* #,##0.0_р_._-;\-* #,##0.0_р_._-;_-* &quot;-&quot;??_р_._-;_-@_-"/>
    <numFmt numFmtId="180" formatCode="_-* #,##0_р_._-;\-* #,##0_р_._-;_-* &quot;-&quot;??_р_._-;_-@_-"/>
    <numFmt numFmtId="181" formatCode="_-* #,##0.0_-;\-* #,##0.0_-;_-* &quot;-&quot;??_-;_-@_-"/>
    <numFmt numFmtId="182" formatCode="_-* #,##0.0\ _₽_-;\-* #,##0.0\ _₽_-;_-* &quot;-&quot;??\ _₽_-;_-@_-"/>
    <numFmt numFmtId="183" formatCode="_-* #,##0_р_._-;\-* #,##0_р_._-;_-* &quot;-&quot;_р_._-;_-@_-"/>
    <numFmt numFmtId="184" formatCode="#\ ##0"/>
  </numFmts>
  <fonts count="93">
    <font>
      <sz val="11"/>
      <color theme="1"/>
      <name val="Calibri"/>
      <family val="2"/>
      <charset val="204"/>
      <scheme val="minor"/>
    </font>
    <font>
      <sz val="11"/>
      <color theme="1"/>
      <name val="Calibri"/>
      <family val="2"/>
      <charset val="204"/>
      <scheme val="minor"/>
    </font>
    <font>
      <sz val="10"/>
      <name val="Arial"/>
      <family val="2"/>
      <charset val="204"/>
    </font>
    <font>
      <sz val="10"/>
      <name val="Arial Cyr"/>
      <charset val="204"/>
    </font>
    <font>
      <u/>
      <sz val="11"/>
      <color theme="10"/>
      <name val="Calibri"/>
      <family val="2"/>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1"/>
      <color theme="1"/>
      <name val="Calibri"/>
      <family val="2"/>
      <scheme val="minor"/>
    </font>
    <font>
      <sz val="12"/>
      <color theme="1"/>
      <name val="Calibri"/>
      <family val="2"/>
      <charset val="204"/>
      <scheme val="minor"/>
    </font>
    <font>
      <u/>
      <sz val="11"/>
      <color theme="10"/>
      <name val="Calibri"/>
      <family val="2"/>
      <charset val="204"/>
      <scheme val="minor"/>
    </font>
    <font>
      <sz val="12"/>
      <color indexed="8"/>
      <name val="Times New Roman"/>
      <family val="1"/>
      <charset val="204"/>
    </font>
    <font>
      <sz val="12"/>
      <color rgb="FF222222"/>
      <name val="Times New Roman"/>
      <family val="1"/>
      <charset val="204"/>
    </font>
    <font>
      <sz val="10"/>
      <name val="Arial Cyr"/>
      <charset val="186"/>
    </font>
    <font>
      <sz val="12"/>
      <color rgb="FF000000"/>
      <name val="Times New Roman"/>
      <family val="1"/>
      <charset val="204"/>
    </font>
    <font>
      <b/>
      <sz val="12"/>
      <color theme="0"/>
      <name val="Times New Roman"/>
      <family val="1"/>
      <charset val="204"/>
    </font>
    <font>
      <sz val="12"/>
      <color rgb="FF333333"/>
      <name val="Times New Roman"/>
      <family val="1"/>
      <charset val="204"/>
    </font>
    <font>
      <b/>
      <sz val="10"/>
      <color theme="1"/>
      <name val="Times New Roman"/>
      <family val="1"/>
      <charset val="204"/>
    </font>
    <font>
      <sz val="11"/>
      <color rgb="FF000000"/>
      <name val="Times New Roman"/>
      <family val="1"/>
      <charset val="204"/>
    </font>
    <font>
      <sz val="10"/>
      <color theme="1"/>
      <name val="Times New Roman"/>
      <family val="1"/>
      <charset val="204"/>
    </font>
    <font>
      <b/>
      <sz val="16"/>
      <color theme="1"/>
      <name val="Times New Roman"/>
      <family val="1"/>
      <charset val="204"/>
    </font>
    <font>
      <sz val="14"/>
      <color theme="1"/>
      <name val="Times New Roman"/>
      <family val="1"/>
      <charset val="204"/>
    </font>
    <font>
      <sz val="10"/>
      <name val="Times New Roman"/>
      <family val="1"/>
      <charset val="204"/>
    </font>
    <font>
      <sz val="10"/>
      <color rgb="FF000000"/>
      <name val="Times New Roman"/>
      <family val="1"/>
      <charset val="204"/>
    </font>
    <font>
      <sz val="12"/>
      <name val="Courier"/>
      <family val="1"/>
      <charset val="204"/>
    </font>
    <font>
      <sz val="11"/>
      <color theme="1"/>
      <name val="Times New Roman"/>
      <family val="1"/>
      <charset val="204"/>
    </font>
    <font>
      <b/>
      <sz val="14"/>
      <color theme="1"/>
      <name val="Times New Roman"/>
      <family val="1"/>
      <charset val="204"/>
    </font>
    <font>
      <b/>
      <sz val="14"/>
      <name val="Times New Roman"/>
      <family val="1"/>
      <charset val="204"/>
    </font>
    <font>
      <b/>
      <sz val="11"/>
      <color theme="1"/>
      <name val="Times New Roman"/>
      <family val="1"/>
      <charset val="204"/>
    </font>
    <font>
      <sz val="11"/>
      <name val="Times New Roman"/>
      <family val="1"/>
      <charset val="204"/>
    </font>
    <font>
      <sz val="11"/>
      <color rgb="FF000000"/>
      <name val="Calibri"/>
      <family val="2"/>
      <charset val="204"/>
    </font>
    <font>
      <b/>
      <sz val="12"/>
      <color theme="1"/>
      <name val="Arial"/>
      <family val="2"/>
      <charset val="204"/>
    </font>
    <font>
      <sz val="8"/>
      <name val="Calibri"/>
      <family val="2"/>
      <charset val="204"/>
      <scheme val="minor"/>
    </font>
    <font>
      <sz val="10"/>
      <color rgb="FF000000"/>
      <name val="Times New Roman"/>
      <family val="1"/>
      <charset val="204"/>
    </font>
    <font>
      <sz val="14"/>
      <color theme="1"/>
      <name val="Calibri"/>
      <family val="2"/>
      <charset val="204"/>
      <scheme val="minor"/>
    </font>
    <font>
      <b/>
      <sz val="9"/>
      <name val="Times New Roman"/>
      <family val="1"/>
      <charset val="204"/>
    </font>
    <font>
      <sz val="8"/>
      <color theme="1"/>
      <name val="Times New Roman"/>
      <family val="1"/>
      <charset val="204"/>
    </font>
    <font>
      <b/>
      <sz val="11"/>
      <color theme="1"/>
      <name val="Calibri"/>
      <family val="2"/>
      <charset val="204"/>
      <scheme val="minor"/>
    </font>
    <font>
      <sz val="10"/>
      <name val="Helv"/>
      <charset val="204"/>
    </font>
    <font>
      <b/>
      <sz val="24"/>
      <name val="Times New Roman"/>
      <family val="1"/>
      <charset val="204"/>
    </font>
    <font>
      <vertAlign val="superscript"/>
      <sz val="12"/>
      <name val="Times New Roman"/>
      <family val="1"/>
      <charset val="204"/>
    </font>
    <font>
      <b/>
      <sz val="14"/>
      <color rgb="FF000000"/>
      <name val="Times New Roman"/>
      <family val="1"/>
      <charset val="204"/>
    </font>
    <font>
      <sz val="11"/>
      <color rgb="FFFF0000"/>
      <name val="Times New Roman"/>
      <family val="1"/>
      <charset val="204"/>
    </font>
    <font>
      <sz val="11"/>
      <color rgb="FF202124"/>
      <name val="Times New Roman"/>
      <family val="1"/>
      <charset val="204"/>
    </font>
    <font>
      <i/>
      <sz val="12"/>
      <color rgb="FF333333"/>
      <name val="Times New Roman"/>
      <family val="1"/>
      <charset val="204"/>
    </font>
    <font>
      <b/>
      <sz val="20"/>
      <color rgb="FF000000"/>
      <name val="Times New Roman"/>
      <family val="1"/>
      <charset val="204"/>
    </font>
    <font>
      <sz val="20"/>
      <color theme="1"/>
      <name val="Times New Roman"/>
      <family val="1"/>
      <charset val="204"/>
    </font>
    <font>
      <sz val="20"/>
      <color rgb="FF000000"/>
      <name val="Times New Roman"/>
      <family val="1"/>
      <charset val="204"/>
    </font>
    <font>
      <sz val="20"/>
      <color theme="1"/>
      <name val="Calibri"/>
      <family val="2"/>
      <charset val="204"/>
      <scheme val="minor"/>
    </font>
    <font>
      <b/>
      <sz val="20"/>
      <color theme="1"/>
      <name val="Times New Roman"/>
      <family val="1"/>
      <charset val="204"/>
    </font>
    <font>
      <sz val="14"/>
      <color rgb="FF000000"/>
      <name val="Times New Roman"/>
      <family val="1"/>
      <charset val="204"/>
    </font>
    <font>
      <b/>
      <sz val="16"/>
      <name val="Times New Roman"/>
      <family val="1"/>
      <charset val="204"/>
    </font>
    <font>
      <b/>
      <sz val="16"/>
      <color rgb="FF000000"/>
      <name val="Times New Roman"/>
      <family val="1"/>
      <charset val="204"/>
    </font>
    <font>
      <sz val="16"/>
      <name val="Times New Roman"/>
      <family val="1"/>
      <charset val="204"/>
    </font>
    <font>
      <i/>
      <sz val="16"/>
      <color rgb="FFFF0000"/>
      <name val="Times New Roman"/>
      <family val="1"/>
      <charset val="204"/>
    </font>
    <font>
      <b/>
      <sz val="16"/>
      <color rgb="FFFF0000"/>
      <name val="Times New Roman"/>
      <family val="1"/>
      <charset val="204"/>
    </font>
    <font>
      <sz val="16"/>
      <color theme="1"/>
      <name val="Times New Roman"/>
      <family val="1"/>
      <charset val="204"/>
    </font>
    <font>
      <u/>
      <sz val="16"/>
      <name val="Times New Roman"/>
      <family val="1"/>
      <charset val="204"/>
    </font>
    <font>
      <sz val="16"/>
      <color theme="0"/>
      <name val="Times New Roman"/>
      <family val="1"/>
      <charset val="204"/>
    </font>
    <font>
      <sz val="16"/>
      <color rgb="FFFF0000"/>
      <name val="Times New Roman"/>
      <family val="1"/>
      <charset val="204"/>
    </font>
    <font>
      <sz val="16"/>
      <color indexed="8"/>
      <name val="Times New Roman"/>
      <family val="1"/>
      <charset val="204"/>
    </font>
    <font>
      <sz val="16"/>
      <color rgb="FF333333"/>
      <name val="Times New Roman"/>
      <family val="1"/>
      <charset val="204"/>
    </font>
    <font>
      <sz val="16"/>
      <color rgb="FF000000"/>
      <name val="Times New Roman"/>
      <family val="1"/>
      <charset val="204"/>
    </font>
    <font>
      <sz val="16"/>
      <color rgb="FF222222"/>
      <name val="Times New Roman"/>
      <family val="1"/>
      <charset val="204"/>
    </font>
    <font>
      <b/>
      <sz val="12"/>
      <color theme="1"/>
      <name val="Calibri"/>
      <family val="2"/>
      <charset val="204"/>
      <scheme val="minor"/>
    </font>
    <font>
      <b/>
      <sz val="12"/>
      <color rgb="FF000000"/>
      <name val="Times New Roman"/>
      <family val="1"/>
      <charset val="204"/>
    </font>
    <font>
      <b/>
      <sz val="13"/>
      <color rgb="FF000000"/>
      <name val="Calibri"/>
      <family val="2"/>
      <charset val="204"/>
      <scheme val="minor"/>
    </font>
    <font>
      <sz val="12"/>
      <color theme="1"/>
      <name val="Arial"/>
      <family val="2"/>
      <charset val="204"/>
    </font>
    <font>
      <sz val="16"/>
      <color theme="1"/>
      <name val="Calibri"/>
      <family val="2"/>
      <charset val="204"/>
      <scheme val="minor"/>
    </font>
    <font>
      <b/>
      <sz val="16"/>
      <name val="Times New Roman"/>
      <family val="2"/>
      <charset val="204"/>
    </font>
    <font>
      <b/>
      <u/>
      <sz val="16"/>
      <name val="Times New Roman"/>
      <family val="1"/>
      <charset val="204"/>
    </font>
    <font>
      <sz val="12"/>
      <color rgb="FF1F1F1F"/>
      <name val="Times New Roman"/>
      <family val="1"/>
      <charset val="204"/>
    </font>
    <font>
      <sz val="12"/>
      <name val="Calibri"/>
      <family val="2"/>
      <charset val="204"/>
    </font>
    <font>
      <sz val="12"/>
      <color rgb="FF494947"/>
      <name val="Times New Roman"/>
      <family val="1"/>
      <charset val="204"/>
    </font>
    <font>
      <vertAlign val="superscript"/>
      <sz val="12"/>
      <color theme="1"/>
      <name val="Times New Roman"/>
      <family val="1"/>
      <charset val="204"/>
    </font>
    <font>
      <b/>
      <sz val="16"/>
      <color theme="1"/>
      <name val="Calibri"/>
      <family val="2"/>
      <charset val="204"/>
      <scheme val="minor"/>
    </font>
    <font>
      <vertAlign val="superscript"/>
      <sz val="14"/>
      <color rgb="FF000000"/>
      <name val="Times New Roman"/>
      <family val="1"/>
      <charset val="204"/>
    </font>
    <font>
      <sz val="14"/>
      <name val="Times New Roman"/>
      <family val="1"/>
      <charset val="204"/>
    </font>
    <font>
      <sz val="14"/>
      <color indexed="8"/>
      <name val="Times New Roman"/>
      <family val="1"/>
      <charset val="204"/>
    </font>
    <font>
      <sz val="11"/>
      <color rgb="FF222222"/>
      <name val="Times New Roman"/>
      <family val="1"/>
      <charset val="204"/>
    </font>
    <font>
      <sz val="11"/>
      <name val="Calibri"/>
      <family val="2"/>
      <charset val="204"/>
      <scheme val="minor"/>
    </font>
    <font>
      <b/>
      <sz val="11"/>
      <color rgb="FFFF0000"/>
      <name val="Times New Roman"/>
      <family val="1"/>
      <charset val="204"/>
    </font>
    <font>
      <b/>
      <sz val="11"/>
      <color rgb="FF000000"/>
      <name val="Times New Roman"/>
      <family val="1"/>
      <charset val="204"/>
    </font>
    <font>
      <b/>
      <sz val="11"/>
      <name val="Times New Roman"/>
      <family val="1"/>
      <charset val="204"/>
    </font>
    <font>
      <sz val="11"/>
      <color indexed="8"/>
      <name val="Times New Roman"/>
      <family val="1"/>
      <charset val="204"/>
    </font>
    <font>
      <b/>
      <sz val="11"/>
      <color indexed="8"/>
      <name val="Times New Roman"/>
      <family val="1"/>
      <charset val="204"/>
    </font>
    <font>
      <vertAlign val="superscript"/>
      <sz val="11"/>
      <name val="Times New Roman"/>
      <family val="1"/>
      <charset val="204"/>
    </font>
    <font>
      <sz val="11"/>
      <color theme="1"/>
      <name val="Arial"/>
      <family val="2"/>
      <charset val="204"/>
    </font>
    <font>
      <b/>
      <sz val="10"/>
      <color rgb="FF000000"/>
      <name val="Times New Roman"/>
      <family val="1"/>
      <charset val="204"/>
    </font>
    <font>
      <b/>
      <sz val="10"/>
      <name val="Times New Roman"/>
      <family val="1"/>
      <charset val="204"/>
    </font>
    <font>
      <sz val="10"/>
      <color theme="1"/>
      <name val="Calibri"/>
      <family val="2"/>
      <charset val="204"/>
      <scheme val="minor"/>
    </font>
    <font>
      <b/>
      <sz val="11"/>
      <color rgb="FF353C47"/>
      <name val="Times New Roman"/>
      <family val="1"/>
      <charset val="204"/>
    </font>
  </fonts>
  <fills count="3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00B0F0"/>
        <bgColor indexed="64"/>
      </patternFill>
    </fill>
    <fill>
      <patternFill patternType="solid">
        <fgColor rgb="FFFFFFFF"/>
        <bgColor indexed="64"/>
      </patternFill>
    </fill>
    <fill>
      <patternFill patternType="solid">
        <fgColor rgb="FFFFFFFF"/>
        <bgColor rgb="FFFFFFFF"/>
      </patternFill>
    </fill>
    <fill>
      <patternFill patternType="solid">
        <fgColor theme="0" tint="-4.9989318521683403E-2"/>
        <bgColor indexed="64"/>
      </patternFill>
    </fill>
    <fill>
      <patternFill patternType="solid">
        <fgColor rgb="FFFFC000"/>
        <bgColor indexed="64"/>
      </patternFill>
    </fill>
    <fill>
      <patternFill patternType="solid">
        <fgColor theme="7"/>
        <bgColor indexed="64"/>
      </patternFill>
    </fill>
    <fill>
      <patternFill patternType="solid">
        <fgColor rgb="FFFFFFFF"/>
        <bgColor rgb="FF000000"/>
      </patternFill>
    </fill>
    <fill>
      <patternFill patternType="solid">
        <fgColor rgb="FFFFC000"/>
        <bgColor rgb="FF000000"/>
      </patternFill>
    </fill>
    <fill>
      <patternFill patternType="solid">
        <fgColor rgb="FF92D050"/>
        <bgColor rgb="FF000000"/>
      </patternFill>
    </fill>
    <fill>
      <patternFill patternType="solid">
        <fgColor rgb="FF92D05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4" tint="0.79998168889431442"/>
        <bgColor theme="4" tint="0.79998168889431442"/>
      </patternFill>
    </fill>
    <fill>
      <patternFill patternType="solid">
        <fgColor theme="9"/>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3" tint="0.39997558519241921"/>
        <bgColor indexed="64"/>
      </patternFill>
    </fill>
    <fill>
      <patternFill patternType="solid">
        <fgColor theme="8" tint="-0.249977111117893"/>
        <bgColor indexed="64"/>
      </patternFill>
    </fill>
    <fill>
      <patternFill patternType="solid">
        <fgColor theme="0"/>
        <bgColor rgb="FF000000"/>
      </patternFill>
    </fill>
    <fill>
      <patternFill patternType="solid">
        <fgColor theme="4" tint="0.59999389629810485"/>
        <bgColor indexed="64"/>
      </patternFill>
    </fill>
    <fill>
      <patternFill patternType="solid">
        <fgColor rgb="FFFF99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158">
    <xf numFmtId="0" fontId="0" fillId="0" borderId="0"/>
    <xf numFmtId="0" fontId="2" fillId="0" borderId="0"/>
    <xf numFmtId="0" fontId="1" fillId="0" borderId="0"/>
    <xf numFmtId="0" fontId="1" fillId="0" borderId="0"/>
    <xf numFmtId="0" fontId="3" fillId="0" borderId="0"/>
    <xf numFmtId="0" fontId="1" fillId="0" borderId="0"/>
    <xf numFmtId="0" fontId="4" fillId="0" borderId="0" applyNumberFormat="0" applyFill="0" applyBorder="0" applyAlignment="0" applyProtection="0"/>
    <xf numFmtId="0" fontId="1" fillId="0" borderId="0"/>
    <xf numFmtId="0" fontId="9" fillId="0" borderId="0"/>
    <xf numFmtId="165" fontId="2" fillId="0" borderId="0" applyFont="0" applyFill="0" applyBorder="0" applyAlignment="0" applyProtection="0"/>
    <xf numFmtId="0" fontId="10" fillId="0" borderId="0"/>
    <xf numFmtId="164" fontId="10" fillId="0" borderId="0" applyFont="0" applyFill="0" applyBorder="0" applyAlignment="0" applyProtection="0"/>
    <xf numFmtId="0" fontId="11"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4" fillId="0" borderId="0"/>
    <xf numFmtId="169" fontId="25" fillId="0" borderId="0"/>
    <xf numFmtId="171" fontId="31" fillId="0" borderId="0"/>
    <xf numFmtId="0" fontId="24" fillId="0" borderId="0"/>
    <xf numFmtId="0" fontId="34"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4"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257">
    <xf numFmtId="0" fontId="0" fillId="0" borderId="0" xfId="0"/>
    <xf numFmtId="1" fontId="16" fillId="3" borderId="0" xfId="0" applyNumberFormat="1" applyFont="1" applyFill="1" applyAlignment="1">
      <alignment horizontal="center" vertical="center" wrapText="1"/>
    </xf>
    <xf numFmtId="1" fontId="16" fillId="2" borderId="0" xfId="0" applyNumberFormat="1" applyFont="1" applyFill="1" applyAlignment="1">
      <alignment horizontal="center" vertical="center" wrapText="1"/>
    </xf>
    <xf numFmtId="0" fontId="6" fillId="2" borderId="0" xfId="0" applyFont="1" applyFill="1" applyAlignment="1">
      <alignment horizontal="center" vertical="center" wrapText="1"/>
    </xf>
    <xf numFmtId="0" fontId="6" fillId="3" borderId="0" xfId="0" applyFont="1" applyFill="1" applyAlignment="1">
      <alignment horizontal="center" vertical="center" wrapText="1"/>
    </xf>
    <xf numFmtId="0" fontId="6" fillId="0" borderId="0" xfId="0" applyFont="1"/>
    <xf numFmtId="0" fontId="5" fillId="0" borderId="0" xfId="0" applyFont="1"/>
    <xf numFmtId="1" fontId="5" fillId="0" borderId="0" xfId="0" applyNumberFormat="1" applyFont="1"/>
    <xf numFmtId="3" fontId="7"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xf>
    <xf numFmtId="0" fontId="8" fillId="0" borderId="0" xfId="0" applyFont="1"/>
    <xf numFmtId="0" fontId="7" fillId="0" borderId="0" xfId="0" applyFont="1"/>
    <xf numFmtId="0" fontId="6" fillId="0" borderId="0" xfId="0" applyFont="1" applyFill="1"/>
    <xf numFmtId="0" fontId="5" fillId="0" borderId="0" xfId="0" applyFont="1" applyFill="1"/>
    <xf numFmtId="1" fontId="16"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5" fillId="2" borderId="1" xfId="0" applyFont="1" applyFill="1" applyBorder="1" applyAlignment="1">
      <alignment horizontal="center"/>
    </xf>
    <xf numFmtId="0" fontId="19" fillId="6" borderId="1" xfId="0" applyFont="1" applyFill="1" applyBorder="1" applyAlignment="1">
      <alignment horizontal="center" wrapText="1"/>
    </xf>
    <xf numFmtId="0" fontId="5" fillId="2" borderId="1" xfId="0" applyFont="1" applyFill="1" applyBorder="1" applyAlignment="1">
      <alignment horizontal="center" wrapText="1"/>
    </xf>
    <xf numFmtId="0" fontId="26" fillId="0" borderId="0" xfId="0" applyFont="1" applyAlignment="1">
      <alignment horizontal="center"/>
    </xf>
    <xf numFmtId="0" fontId="26" fillId="0" borderId="0" xfId="0" applyFont="1" applyAlignment="1">
      <alignment horizontal="center" vertical="center"/>
    </xf>
    <xf numFmtId="0" fontId="26" fillId="2" borderId="0" xfId="0" applyFont="1" applyFill="1" applyAlignment="1">
      <alignment horizontal="center" vertical="center"/>
    </xf>
    <xf numFmtId="0" fontId="22" fillId="0" borderId="1" xfId="0" applyFont="1" applyBorder="1" applyAlignment="1">
      <alignment horizontal="center"/>
    </xf>
    <xf numFmtId="0" fontId="26" fillId="0" borderId="1" xfId="8" applyFont="1" applyBorder="1" applyAlignment="1" applyProtection="1">
      <alignment horizontal="center" vertical="center"/>
      <protection locked="0"/>
    </xf>
    <xf numFmtId="1" fontId="30" fillId="0" borderId="1" xfId="0" applyNumberFormat="1" applyFont="1" applyBorder="1" applyAlignment="1">
      <alignment horizontal="center" vertical="center"/>
    </xf>
    <xf numFmtId="49" fontId="30" fillId="0" borderId="1" xfId="0" applyNumberFormat="1" applyFont="1" applyBorder="1" applyAlignment="1" applyProtection="1">
      <alignment horizontal="center" vertical="center"/>
      <protection locked="0"/>
    </xf>
    <xf numFmtId="0" fontId="30" fillId="0" borderId="1" xfId="10" applyFont="1" applyBorder="1" applyAlignment="1">
      <alignment horizontal="center" vertical="center" wrapText="1"/>
    </xf>
    <xf numFmtId="0" fontId="32" fillId="0" borderId="0" xfId="0" applyFont="1" applyAlignment="1">
      <alignment horizontal="center" vertical="center" wrapText="1"/>
    </xf>
    <xf numFmtId="0" fontId="15" fillId="0" borderId="7" xfId="0" applyFont="1" applyBorder="1" applyAlignment="1">
      <alignment horizontal="center" vertical="center" wrapText="1"/>
    </xf>
    <xf numFmtId="0" fontId="7" fillId="0" borderId="12" xfId="0" applyFont="1" applyBorder="1" applyAlignment="1">
      <alignment horizontal="center" vertical="center" wrapText="1"/>
    </xf>
    <xf numFmtId="0" fontId="0" fillId="8" borderId="0" xfId="0" applyFill="1"/>
    <xf numFmtId="3" fontId="7" fillId="2" borderId="1" xfId="0" applyNumberFormat="1" applyFont="1" applyFill="1" applyBorder="1" applyAlignment="1">
      <alignment horizontal="center" vertical="center"/>
    </xf>
    <xf numFmtId="3" fontId="12" fillId="0" borderId="1" xfId="0" applyNumberFormat="1" applyFont="1" applyBorder="1" applyAlignment="1">
      <alignment horizontal="center" vertical="center" wrapText="1"/>
    </xf>
    <xf numFmtId="166" fontId="15" fillId="2" borderId="1" xfId="0" applyNumberFormat="1" applyFont="1" applyFill="1" applyBorder="1" applyAlignment="1">
      <alignment horizontal="center" vertical="center"/>
    </xf>
    <xf numFmtId="3" fontId="15" fillId="2" borderId="1" xfId="0" applyNumberFormat="1" applyFont="1" applyFill="1" applyBorder="1" applyAlignment="1">
      <alignment horizontal="center" vertical="center"/>
    </xf>
    <xf numFmtId="3" fontId="5" fillId="0" borderId="1" xfId="0" applyNumberFormat="1" applyFont="1" applyBorder="1" applyAlignment="1">
      <alignment horizontal="center" vertical="center"/>
    </xf>
    <xf numFmtId="3" fontId="5" fillId="0" borderId="1" xfId="0" applyNumberFormat="1" applyFont="1" applyBorder="1" applyAlignment="1">
      <alignment horizontal="center" vertical="center" wrapText="1"/>
    </xf>
    <xf numFmtId="0" fontId="12" fillId="0" borderId="1" xfId="0" applyFont="1" applyFill="1" applyBorder="1" applyAlignment="1">
      <alignment horizontal="center" vertical="center" wrapText="1"/>
    </xf>
    <xf numFmtId="0" fontId="5" fillId="0" borderId="0" xfId="0" applyFont="1" applyAlignment="1">
      <alignment horizontal="center" vertical="center"/>
    </xf>
    <xf numFmtId="43" fontId="0" fillId="0" borderId="0" xfId="21" applyFont="1"/>
    <xf numFmtId="0" fontId="22" fillId="0" borderId="0" xfId="0" applyFont="1"/>
    <xf numFmtId="0" fontId="0" fillId="0" borderId="0" xfId="0"/>
    <xf numFmtId="173" fontId="5" fillId="2" borderId="1" xfId="0" applyNumberFormat="1" applyFont="1" applyFill="1" applyBorder="1" applyAlignment="1">
      <alignment horizontal="center" vertical="center" wrapText="1"/>
    </xf>
    <xf numFmtId="174" fontId="7" fillId="2" borderId="1" xfId="0" applyNumberFormat="1" applyFont="1" applyFill="1" applyBorder="1" applyAlignment="1">
      <alignment horizontal="center" vertical="center" wrapText="1"/>
    </xf>
    <xf numFmtId="0" fontId="0" fillId="0" borderId="0" xfId="0" applyAlignment="1">
      <alignment horizontal="center"/>
    </xf>
    <xf numFmtId="0" fontId="26" fillId="0" borderId="0" xfId="0" applyFont="1"/>
    <xf numFmtId="0" fontId="30" fillId="0" borderId="1" xfId="0" applyFont="1" applyBorder="1" applyAlignment="1">
      <alignment horizontal="center" vertical="center"/>
    </xf>
    <xf numFmtId="0" fontId="19" fillId="2" borderId="1" xfId="0" applyFont="1" applyFill="1" applyBorder="1" applyAlignment="1">
      <alignment horizontal="center" vertical="center"/>
    </xf>
    <xf numFmtId="0" fontId="26" fillId="0" borderId="1" xfId="0" applyFont="1" applyBorder="1" applyAlignment="1">
      <alignment horizontal="center"/>
    </xf>
    <xf numFmtId="0" fontId="15" fillId="0" borderId="1" xfId="0" applyFont="1" applyBorder="1" applyAlignment="1">
      <alignment horizontal="center" vertical="center"/>
    </xf>
    <xf numFmtId="4" fontId="5" fillId="0" borderId="1" xfId="0" applyNumberFormat="1" applyFont="1" applyBorder="1" applyAlignment="1">
      <alignment horizontal="center" vertical="center" wrapText="1"/>
    </xf>
    <xf numFmtId="0" fontId="30" fillId="2" borderId="1" xfId="11" applyNumberFormat="1" applyFont="1" applyFill="1" applyBorder="1" applyAlignment="1">
      <alignment horizontal="center" vertical="center"/>
    </xf>
    <xf numFmtId="0" fontId="30" fillId="0" borderId="1" xfId="11" applyNumberFormat="1" applyFont="1" applyFill="1" applyBorder="1" applyAlignment="1">
      <alignment horizontal="center" vertical="center"/>
    </xf>
    <xf numFmtId="0" fontId="12" fillId="0" borderId="1" xfId="0" applyFont="1" applyBorder="1" applyAlignment="1">
      <alignment horizontal="center" vertical="center" wrapText="1"/>
    </xf>
    <xf numFmtId="0" fontId="15" fillId="0" borderId="2" xfId="0" applyFont="1" applyBorder="1" applyAlignment="1">
      <alignment horizontal="center" vertical="center" wrapText="1"/>
    </xf>
    <xf numFmtId="1" fontId="15" fillId="0" borderId="1" xfId="0" applyNumberFormat="1" applyFont="1" applyBorder="1" applyAlignment="1">
      <alignment horizontal="center" vertical="center" wrapText="1"/>
    </xf>
    <xf numFmtId="0" fontId="15" fillId="0" borderId="12" xfId="0" applyFont="1" applyBorder="1" applyAlignment="1">
      <alignment horizontal="center" vertical="center" wrapText="1"/>
    </xf>
    <xf numFmtId="0" fontId="12" fillId="0" borderId="2" xfId="0" applyFont="1" applyBorder="1" applyAlignment="1">
      <alignment horizontal="center" vertical="center" wrapText="1"/>
    </xf>
    <xf numFmtId="0" fontId="0" fillId="0" borderId="0" xfId="0"/>
    <xf numFmtId="0" fontId="5" fillId="2" borderId="1" xfId="0" applyFont="1" applyFill="1" applyBorder="1" applyAlignment="1">
      <alignment horizontal="center" vertical="center"/>
    </xf>
    <xf numFmtId="0" fontId="36" fillId="0" borderId="0" xfId="0" applyFont="1" applyAlignment="1">
      <alignment horizontal="center" vertical="center" wrapText="1"/>
    </xf>
    <xf numFmtId="166" fontId="37" fillId="0" borderId="0" xfId="0" applyNumberFormat="1" applyFont="1" applyAlignment="1">
      <alignment horizontal="center" vertical="center" wrapText="1"/>
    </xf>
    <xf numFmtId="167" fontId="5" fillId="0" borderId="0" xfId="0" applyNumberFormat="1" applyFont="1" applyAlignment="1">
      <alignment horizontal="center" vertical="center" wrapText="1"/>
    </xf>
    <xf numFmtId="0" fontId="15" fillId="2" borderId="1" xfId="0" applyFont="1" applyFill="1" applyBorder="1" applyAlignment="1">
      <alignment horizontal="center" vertical="center"/>
    </xf>
    <xf numFmtId="0" fontId="7" fillId="0" borderId="1" xfId="0" applyFont="1" applyBorder="1" applyAlignment="1">
      <alignment horizontal="center" vertical="center"/>
    </xf>
    <xf numFmtId="0" fontId="5"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6" fillId="2" borderId="1" xfId="0" applyFont="1" applyFill="1" applyBorder="1" applyAlignment="1">
      <alignment horizontal="center" vertical="center"/>
    </xf>
    <xf numFmtId="167" fontId="5"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167" fontId="5" fillId="2" borderId="1" xfId="0" applyNumberFormat="1" applyFont="1" applyFill="1" applyBorder="1" applyAlignment="1">
      <alignment horizontal="center" vertical="center" wrapText="1"/>
    </xf>
    <xf numFmtId="170" fontId="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5" fillId="0" borderId="0" xfId="0" applyFont="1"/>
    <xf numFmtId="166" fontId="5" fillId="0" borderId="1" xfId="0" applyNumberFormat="1" applyFont="1" applyBorder="1" applyAlignment="1">
      <alignment horizontal="center" vertical="center" wrapText="1"/>
    </xf>
    <xf numFmtId="0" fontId="7" fillId="2" borderId="1" xfId="0" applyFont="1" applyFill="1" applyBorder="1" applyAlignment="1">
      <alignment horizontal="center" vertical="center"/>
    </xf>
    <xf numFmtId="0" fontId="15" fillId="0" borderId="1" xfId="0" applyFont="1" applyBorder="1" applyAlignment="1">
      <alignment horizontal="center" vertical="center" wrapText="1"/>
    </xf>
    <xf numFmtId="0" fontId="5" fillId="0" borderId="1" xfId="1" applyFont="1" applyBorder="1" applyAlignment="1">
      <alignment horizontal="center" vertical="center"/>
    </xf>
    <xf numFmtId="0" fontId="0" fillId="0" borderId="0" xfId="0" applyAlignment="1">
      <alignment horizontal="center" vertical="center"/>
    </xf>
    <xf numFmtId="166" fontId="6" fillId="2" borderId="1" xfId="0" applyNumberFormat="1" applyFont="1" applyFill="1" applyBorder="1" applyAlignment="1">
      <alignment horizontal="center" vertical="center" wrapText="1"/>
    </xf>
    <xf numFmtId="0" fontId="26" fillId="0" borderId="1" xfId="0" applyFont="1" applyBorder="1" applyAlignment="1">
      <alignment horizontal="center" vertical="center"/>
    </xf>
    <xf numFmtId="0" fontId="7" fillId="2" borderId="1" xfId="6" applyFont="1" applyFill="1" applyBorder="1" applyAlignment="1">
      <alignment horizontal="center" vertical="center" wrapText="1"/>
    </xf>
    <xf numFmtId="167" fontId="7" fillId="0" borderId="1" xfId="0" applyNumberFormat="1" applyFont="1" applyBorder="1" applyAlignment="1">
      <alignment horizontal="center" vertical="center" wrapText="1"/>
    </xf>
    <xf numFmtId="0" fontId="5" fillId="2" borderId="1" xfId="1" applyFont="1" applyFill="1" applyBorder="1" applyAlignment="1">
      <alignment horizontal="center" vertical="center"/>
    </xf>
    <xf numFmtId="167" fontId="7" fillId="2" borderId="1" xfId="0" applyNumberFormat="1" applyFont="1" applyFill="1" applyBorder="1" applyAlignment="1">
      <alignment horizontal="center" vertical="center" wrapText="1"/>
    </xf>
    <xf numFmtId="0" fontId="0" fillId="0" borderId="0" xfId="0" applyAlignment="1">
      <alignment horizontal="center"/>
    </xf>
    <xf numFmtId="0" fontId="26" fillId="0" borderId="1" xfId="0" applyFont="1" applyBorder="1" applyAlignment="1">
      <alignment horizontal="center" vertical="center" wrapText="1"/>
    </xf>
    <xf numFmtId="0" fontId="26" fillId="2" borderId="1" xfId="0" applyFont="1" applyFill="1" applyBorder="1" applyAlignment="1">
      <alignment horizontal="center"/>
    </xf>
    <xf numFmtId="0" fontId="22"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8" fillId="0" borderId="0" xfId="0" applyFont="1" applyAlignment="1">
      <alignment horizontal="center"/>
    </xf>
    <xf numFmtId="0" fontId="38" fillId="0" borderId="0" xfId="0" applyFont="1"/>
    <xf numFmtId="0" fontId="43" fillId="0" borderId="1" xfId="0" applyFont="1" applyBorder="1" applyAlignment="1">
      <alignment horizontal="center" vertical="center" wrapText="1"/>
    </xf>
    <xf numFmtId="0" fontId="30" fillId="0" borderId="1" xfId="2" applyFont="1" applyBorder="1" applyAlignment="1">
      <alignment horizontal="center" vertical="center" wrapText="1"/>
    </xf>
    <xf numFmtId="0" fontId="0" fillId="2" borderId="1" xfId="0" applyFont="1" applyFill="1" applyBorder="1" applyAlignment="1">
      <alignment horizontal="center"/>
    </xf>
    <xf numFmtId="0" fontId="0" fillId="2"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2" borderId="1" xfId="8" applyFont="1" applyFill="1" applyBorder="1" applyAlignment="1" applyProtection="1">
      <alignment horizontal="center" vertical="center"/>
      <protection locked="0"/>
    </xf>
    <xf numFmtId="49" fontId="23" fillId="0" borderId="1" xfId="0" applyNumberFormat="1" applyFont="1" applyBorder="1" applyAlignment="1" applyProtection="1">
      <alignment horizontal="center" vertical="center"/>
      <protection locked="0"/>
    </xf>
    <xf numFmtId="0" fontId="7" fillId="0" borderId="4" xfId="0" applyFont="1" applyBorder="1" applyAlignment="1">
      <alignment horizontal="center" vertical="center" wrapText="1"/>
    </xf>
    <xf numFmtId="0" fontId="5"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5" fillId="0" borderId="1" xfId="8" applyFont="1" applyBorder="1" applyAlignment="1">
      <alignment horizontal="center" vertical="center" wrapText="1"/>
    </xf>
    <xf numFmtId="2" fontId="5" fillId="0" borderId="1" xfId="0" applyNumberFormat="1" applyFont="1" applyBorder="1" applyAlignment="1">
      <alignment horizontal="center" vertical="center" wrapText="1"/>
    </xf>
    <xf numFmtId="0" fontId="7" fillId="0" borderId="1" xfId="2" applyFont="1" applyBorder="1" applyAlignment="1">
      <alignment horizontal="center" vertical="center" wrapText="1"/>
    </xf>
    <xf numFmtId="0" fontId="17" fillId="0" borderId="1" xfId="0" applyFont="1" applyBorder="1" applyAlignment="1">
      <alignment horizontal="center" vertical="center"/>
    </xf>
    <xf numFmtId="0" fontId="12" fillId="0" borderId="1" xfId="2" applyFont="1" applyBorder="1" applyAlignment="1">
      <alignment horizontal="center" vertical="center" wrapText="1"/>
    </xf>
    <xf numFmtId="0" fontId="15" fillId="0" borderId="1" xfId="1" applyFont="1" applyBorder="1" applyAlignment="1">
      <alignment horizontal="center" vertical="center" wrapText="1"/>
    </xf>
    <xf numFmtId="0" fontId="7" fillId="0" borderId="1" xfId="1" applyFont="1" applyBorder="1" applyAlignment="1">
      <alignment horizontal="center" vertical="center" wrapText="1"/>
    </xf>
    <xf numFmtId="0" fontId="7" fillId="0" borderId="1" xfId="1" applyFont="1" applyBorder="1" applyAlignment="1">
      <alignment horizontal="center" vertical="center"/>
    </xf>
    <xf numFmtId="0" fontId="20" fillId="2" borderId="1" xfId="0" applyFont="1" applyFill="1" applyBorder="1" applyAlignment="1">
      <alignment horizontal="center" wrapText="1"/>
    </xf>
    <xf numFmtId="2" fontId="12" fillId="2" borderId="1" xfId="0" applyNumberFormat="1" applyFont="1" applyFill="1" applyBorder="1" applyAlignment="1">
      <alignment horizontal="center" vertical="center" wrapText="1"/>
    </xf>
    <xf numFmtId="1" fontId="7" fillId="2" borderId="1" xfId="17"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166" fontId="20" fillId="2" borderId="1" xfId="0" applyNumberFormat="1" applyFont="1" applyFill="1" applyBorder="1" applyAlignment="1">
      <alignment horizontal="center" vertical="center" wrapText="1"/>
    </xf>
    <xf numFmtId="166" fontId="23" fillId="2" borderId="1" xfId="0" applyNumberFormat="1" applyFont="1" applyFill="1" applyBorder="1" applyAlignment="1">
      <alignment horizontal="center" vertical="center" wrapText="1"/>
    </xf>
    <xf numFmtId="43" fontId="5" fillId="2" borderId="1" xfId="21" applyFont="1" applyFill="1" applyBorder="1" applyAlignment="1">
      <alignment horizontal="center" vertical="center" wrapText="1"/>
    </xf>
    <xf numFmtId="0" fontId="12" fillId="2" borderId="2" xfId="0" applyFont="1" applyFill="1" applyBorder="1" applyAlignment="1">
      <alignment horizontal="center" vertical="center" wrapText="1"/>
    </xf>
    <xf numFmtId="0" fontId="6" fillId="2" borderId="0" xfId="0" applyFont="1" applyFill="1"/>
    <xf numFmtId="167" fontId="42" fillId="1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49" fontId="15" fillId="0" borderId="1" xfId="18" applyNumberFormat="1" applyFont="1" applyBorder="1" applyAlignment="1">
      <alignment horizontal="center" vertical="center" wrapText="1"/>
    </xf>
    <xf numFmtId="171" fontId="15" fillId="0" borderId="1" xfId="18" applyFont="1" applyBorder="1" applyAlignment="1">
      <alignment horizontal="center" vertical="center" wrapText="1"/>
    </xf>
    <xf numFmtId="171" fontId="15" fillId="7" borderId="1" xfId="18" applyFont="1" applyFill="1" applyBorder="1" applyAlignment="1">
      <alignment horizontal="center" vertical="center" wrapText="1"/>
    </xf>
    <xf numFmtId="49" fontId="15" fillId="7" borderId="1" xfId="18" applyNumberFormat="1" applyFont="1" applyFill="1" applyBorder="1" applyAlignment="1" applyProtection="1">
      <alignment horizontal="center" vertical="center" wrapText="1"/>
      <protection hidden="1"/>
    </xf>
    <xf numFmtId="171" fontId="15" fillId="0" borderId="1" xfId="18" applyFont="1" applyBorder="1" applyAlignment="1">
      <alignment horizontal="center" vertical="center"/>
    </xf>
    <xf numFmtId="172" fontId="15" fillId="0" borderId="1" xfId="18"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7" fillId="0" borderId="11" xfId="0" applyFont="1" applyBorder="1" applyAlignment="1">
      <alignment horizontal="center" vertical="center" wrapText="1"/>
    </xf>
    <xf numFmtId="0" fontId="15" fillId="2" borderId="1" xfId="0" applyFont="1" applyFill="1" applyBorder="1" applyAlignment="1">
      <alignment horizontal="left" vertical="center" wrapText="1"/>
    </xf>
    <xf numFmtId="0" fontId="0" fillId="0" borderId="1" xfId="0" applyBorder="1" applyAlignment="1">
      <alignment horizontal="center" vertical="center"/>
    </xf>
    <xf numFmtId="167" fontId="42" fillId="12" borderId="12" xfId="0" applyNumberFormat="1" applyFont="1" applyFill="1" applyBorder="1" applyAlignment="1">
      <alignment horizontal="center" vertical="center" wrapText="1"/>
    </xf>
    <xf numFmtId="0" fontId="15" fillId="11" borderId="2" xfId="0" applyFont="1" applyFill="1" applyBorder="1" applyAlignment="1">
      <alignment horizontal="center" vertical="center" wrapText="1"/>
    </xf>
    <xf numFmtId="0" fontId="7" fillId="11" borderId="12" xfId="0" applyFont="1" applyFill="1" applyBorder="1" applyAlignment="1">
      <alignment horizontal="left" vertical="center" wrapText="1"/>
    </xf>
    <xf numFmtId="0" fontId="7" fillId="11" borderId="12" xfId="0" applyFont="1" applyFill="1" applyBorder="1" applyAlignment="1">
      <alignment horizontal="center" vertical="center" wrapText="1"/>
    </xf>
    <xf numFmtId="0" fontId="15" fillId="11" borderId="12" xfId="0" applyFont="1" applyFill="1" applyBorder="1" applyAlignment="1">
      <alignment horizontal="center" vertical="center" wrapText="1"/>
    </xf>
    <xf numFmtId="3" fontId="7" fillId="0" borderId="10" xfId="0" applyNumberFormat="1" applyFont="1" applyBorder="1" applyAlignment="1">
      <alignment horizontal="center" vertical="center" wrapText="1"/>
    </xf>
    <xf numFmtId="3" fontId="7" fillId="11" borderId="2" xfId="0" applyNumberFormat="1" applyFont="1" applyFill="1" applyBorder="1" applyAlignment="1">
      <alignment horizontal="left" vertical="center" wrapText="1"/>
    </xf>
    <xf numFmtId="3" fontId="7" fillId="11" borderId="12" xfId="0" applyNumberFormat="1" applyFont="1" applyFill="1" applyBorder="1" applyAlignment="1">
      <alignment horizontal="center" vertical="center" wrapText="1"/>
    </xf>
    <xf numFmtId="3" fontId="7" fillId="0" borderId="12" xfId="0" applyNumberFormat="1" applyFont="1" applyBorder="1" applyAlignment="1">
      <alignment horizontal="center" vertical="center"/>
    </xf>
    <xf numFmtId="0" fontId="7" fillId="11" borderId="2" xfId="0" applyFont="1" applyFill="1" applyBorder="1" applyAlignment="1">
      <alignment horizontal="left" vertical="center" wrapText="1"/>
    </xf>
    <xf numFmtId="0" fontId="7" fillId="11" borderId="12" xfId="0" applyFont="1" applyFill="1" applyBorder="1" applyAlignment="1">
      <alignment horizontal="center" vertical="top" wrapText="1"/>
    </xf>
    <xf numFmtId="0" fontId="7" fillId="0" borderId="12" xfId="0" applyFont="1" applyBorder="1" applyAlignment="1">
      <alignment horizontal="left" vertical="center" wrapText="1"/>
    </xf>
    <xf numFmtId="3" fontId="7" fillId="11" borderId="12" xfId="0" applyNumberFormat="1" applyFont="1" applyFill="1" applyBorder="1" applyAlignment="1">
      <alignment horizontal="left" vertical="center" wrapText="1"/>
    </xf>
    <xf numFmtId="3" fontId="7" fillId="11" borderId="11" xfId="0" applyNumberFormat="1" applyFont="1" applyFill="1" applyBorder="1" applyAlignment="1">
      <alignment horizontal="center" vertical="center" wrapText="1"/>
    </xf>
    <xf numFmtId="3" fontId="7" fillId="0" borderId="12" xfId="0" applyNumberFormat="1" applyFont="1" applyBorder="1" applyAlignment="1">
      <alignment horizontal="center" vertical="center" wrapText="1"/>
    </xf>
    <xf numFmtId="166" fontId="15" fillId="11" borderId="12" xfId="0" applyNumberFormat="1" applyFont="1" applyFill="1" applyBorder="1" applyAlignment="1">
      <alignment horizontal="center" vertical="center" wrapText="1"/>
    </xf>
    <xf numFmtId="166" fontId="7" fillId="0" borderId="12" xfId="0" applyNumberFormat="1" applyFont="1" applyBorder="1" applyAlignment="1">
      <alignment horizontal="center" vertical="center" wrapText="1"/>
    </xf>
    <xf numFmtId="0" fontId="15" fillId="0" borderId="12" xfId="0" applyFont="1" applyBorder="1" applyAlignment="1">
      <alignment horizontal="left" vertical="center" wrapText="1"/>
    </xf>
    <xf numFmtId="0" fontId="17" fillId="0" borderId="0" xfId="0" applyFont="1" applyAlignment="1">
      <alignment horizontal="center" vertical="center" wrapText="1"/>
    </xf>
    <xf numFmtId="0" fontId="15" fillId="0" borderId="2" xfId="0" applyFont="1" applyBorder="1" applyAlignment="1">
      <alignment horizontal="center" vertical="center"/>
    </xf>
    <xf numFmtId="0" fontId="7" fillId="11" borderId="7" xfId="0" applyFont="1" applyFill="1" applyBorder="1" applyAlignment="1">
      <alignment horizontal="center" vertical="center" wrapText="1"/>
    </xf>
    <xf numFmtId="0" fontId="13" fillId="11" borderId="12" xfId="0" applyFont="1" applyFill="1" applyBorder="1" applyAlignment="1">
      <alignment horizontal="left" vertical="center" wrapText="1"/>
    </xf>
    <xf numFmtId="3" fontId="15" fillId="0" borderId="2" xfId="0" applyNumberFormat="1" applyFont="1" applyBorder="1" applyAlignment="1">
      <alignment horizontal="center" vertical="center" wrapText="1"/>
    </xf>
    <xf numFmtId="3" fontId="15" fillId="0" borderId="10" xfId="0" applyNumberFormat="1" applyFont="1" applyBorder="1" applyAlignment="1">
      <alignment horizontal="center" vertical="center" wrapText="1"/>
    </xf>
    <xf numFmtId="0" fontId="7" fillId="11" borderId="11"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17" fillId="0" borderId="12" xfId="0" applyFont="1" applyBorder="1" applyAlignment="1">
      <alignment horizontal="center" vertical="center" wrapText="1"/>
    </xf>
    <xf numFmtId="0" fontId="15" fillId="0" borderId="12" xfId="0" applyFont="1" applyBorder="1" applyAlignment="1">
      <alignment horizontal="center" vertical="center"/>
    </xf>
    <xf numFmtId="0" fontId="5" fillId="0" borderId="1" xfId="0" applyFont="1" applyBorder="1" applyAlignment="1">
      <alignment horizontal="center"/>
    </xf>
    <xf numFmtId="0" fontId="7" fillId="2" borderId="1" xfId="6" applyFont="1" applyFill="1" applyBorder="1" applyAlignment="1" applyProtection="1">
      <alignment horizontal="center" vertical="center" wrapText="1"/>
    </xf>
    <xf numFmtId="0" fontId="0" fillId="0" borderId="0" xfId="0" applyFont="1"/>
    <xf numFmtId="0" fontId="26" fillId="0" borderId="6" xfId="8" applyFont="1" applyBorder="1" applyAlignment="1" applyProtection="1">
      <alignment horizontal="center" vertical="center"/>
      <protection locked="0"/>
    </xf>
    <xf numFmtId="0" fontId="7" fillId="11" borderId="1" xfId="0" applyFont="1" applyFill="1" applyBorder="1" applyAlignment="1">
      <alignment horizontal="left" vertical="center" wrapText="1"/>
    </xf>
    <xf numFmtId="166" fontId="15" fillId="11" borderId="1" xfId="0" applyNumberFormat="1" applyFont="1" applyFill="1" applyBorder="1" applyAlignment="1">
      <alignment horizontal="center" vertical="center" wrapText="1"/>
    </xf>
    <xf numFmtId="0" fontId="7" fillId="11" borderId="4" xfId="0" applyFont="1" applyFill="1" applyBorder="1" applyAlignment="1">
      <alignment horizontal="center" vertical="center" wrapText="1"/>
    </xf>
    <xf numFmtId="166" fontId="15" fillId="11" borderId="16" xfId="0" applyNumberFormat="1" applyFont="1" applyFill="1" applyBorder="1" applyAlignment="1">
      <alignment horizontal="center" vertical="center" wrapText="1"/>
    </xf>
    <xf numFmtId="0" fontId="15" fillId="11" borderId="1" xfId="0" applyFont="1" applyFill="1" applyBorder="1" applyAlignment="1">
      <alignment horizontal="center" vertical="center" wrapText="1"/>
    </xf>
    <xf numFmtId="0" fontId="0" fillId="0" borderId="0" xfId="0"/>
    <xf numFmtId="0" fontId="7" fillId="0" borderId="2" xfId="0" applyFont="1" applyBorder="1" applyAlignment="1">
      <alignment horizontal="center" vertical="center" wrapText="1"/>
    </xf>
    <xf numFmtId="166"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0" borderId="0" xfId="0" applyFont="1" applyAlignment="1">
      <alignment horizontal="center" vertical="center" wrapText="1"/>
    </xf>
    <xf numFmtId="0" fontId="5" fillId="0" borderId="1"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5" fillId="0" borderId="1" xfId="8" applyFont="1" applyBorder="1" applyAlignment="1" applyProtection="1">
      <alignment horizontal="center" vertical="center"/>
      <protection locked="0"/>
    </xf>
    <xf numFmtId="164" fontId="5" fillId="16" borderId="1" xfId="0" applyNumberFormat="1" applyFont="1" applyFill="1" applyBorder="1" applyAlignment="1">
      <alignment horizontal="center" vertical="center"/>
    </xf>
    <xf numFmtId="164" fontId="5" fillId="17" borderId="1" xfId="0" applyNumberFormat="1" applyFont="1" applyFill="1" applyBorder="1" applyAlignment="1">
      <alignment horizontal="center" vertical="center"/>
    </xf>
    <xf numFmtId="164" fontId="5" fillId="18" borderId="1" xfId="0" applyNumberFormat="1" applyFont="1" applyFill="1" applyBorder="1" applyAlignment="1">
      <alignment horizontal="center" vertical="center"/>
    </xf>
    <xf numFmtId="164" fontId="5" fillId="19" borderId="1" xfId="0" applyNumberFormat="1" applyFont="1" applyFill="1" applyBorder="1" applyAlignment="1">
      <alignment horizontal="center" vertical="center"/>
    </xf>
    <xf numFmtId="43" fontId="5" fillId="0" borderId="1" xfId="21" applyFont="1" applyBorder="1" applyAlignment="1">
      <alignment horizontal="center" vertical="center"/>
    </xf>
    <xf numFmtId="164" fontId="5" fillId="15" borderId="1" xfId="0" applyNumberFormat="1" applyFont="1" applyFill="1" applyBorder="1" applyAlignment="1">
      <alignment horizontal="center" vertical="center"/>
    </xf>
    <xf numFmtId="43" fontId="0" fillId="5" borderId="0" xfId="21" applyFont="1" applyFill="1"/>
    <xf numFmtId="43" fontId="12" fillId="0" borderId="1" xfId="21" applyFont="1" applyFill="1" applyBorder="1" applyAlignment="1">
      <alignment horizontal="center" vertical="center" wrapText="1"/>
    </xf>
    <xf numFmtId="43" fontId="0" fillId="19" borderId="1" xfId="21" applyFont="1" applyFill="1" applyBorder="1" applyAlignment="1">
      <alignment horizontal="center"/>
    </xf>
    <xf numFmtId="43" fontId="0" fillId="18" borderId="1" xfId="21" applyFont="1" applyFill="1" applyBorder="1" applyAlignment="1">
      <alignment horizontal="center"/>
    </xf>
    <xf numFmtId="43" fontId="0" fillId="17" borderId="1" xfId="21" applyFont="1" applyFill="1" applyBorder="1" applyAlignment="1">
      <alignment horizontal="center"/>
    </xf>
    <xf numFmtId="43" fontId="0" fillId="16" borderId="1" xfId="21" applyFont="1" applyFill="1" applyBorder="1" applyAlignment="1">
      <alignment horizontal="center"/>
    </xf>
    <xf numFmtId="43" fontId="5" fillId="0" borderId="1" xfId="21" applyFont="1" applyBorder="1" applyAlignment="1">
      <alignment horizontal="center"/>
    </xf>
    <xf numFmtId="43" fontId="5" fillId="19" borderId="1" xfId="21" applyFont="1" applyFill="1" applyBorder="1" applyAlignment="1">
      <alignment horizontal="center"/>
    </xf>
    <xf numFmtId="164" fontId="15" fillId="0" borderId="1" xfId="0" applyNumberFormat="1" applyFont="1" applyBorder="1" applyAlignment="1">
      <alignment horizontal="center" vertical="center"/>
    </xf>
    <xf numFmtId="164" fontId="22" fillId="0" borderId="1" xfId="0" applyNumberFormat="1" applyFont="1" applyBorder="1" applyAlignment="1">
      <alignment horizontal="center" vertical="center"/>
    </xf>
    <xf numFmtId="167" fontId="5" fillId="15" borderId="1" xfId="0" applyNumberFormat="1" applyFont="1" applyFill="1" applyBorder="1" applyAlignment="1">
      <alignment horizontal="center" vertical="center" wrapText="1"/>
    </xf>
    <xf numFmtId="167" fontId="5" fillId="16" borderId="1" xfId="0" applyNumberFormat="1" applyFont="1" applyFill="1" applyBorder="1" applyAlignment="1">
      <alignment horizontal="center" vertical="center" wrapText="1"/>
    </xf>
    <xf numFmtId="167" fontId="5" fillId="17" borderId="1" xfId="0" applyNumberFormat="1" applyFont="1" applyFill="1" applyBorder="1" applyAlignment="1">
      <alignment horizontal="center" vertical="center" wrapText="1"/>
    </xf>
    <xf numFmtId="167" fontId="5" fillId="18" borderId="1" xfId="0" applyNumberFormat="1" applyFont="1" applyFill="1" applyBorder="1" applyAlignment="1">
      <alignment horizontal="center" vertical="center" wrapText="1"/>
    </xf>
    <xf numFmtId="167" fontId="5" fillId="19" borderId="1" xfId="0" applyNumberFormat="1" applyFont="1" applyFill="1" applyBorder="1" applyAlignment="1">
      <alignment horizontal="center" vertical="center" wrapText="1"/>
    </xf>
    <xf numFmtId="9" fontId="0" fillId="0" borderId="0" xfId="21" applyNumberFormat="1" applyFont="1"/>
    <xf numFmtId="43" fontId="0" fillId="5" borderId="1" xfId="21" applyFont="1" applyFill="1" applyBorder="1" applyAlignment="1">
      <alignment horizontal="center" vertical="center"/>
    </xf>
    <xf numFmtId="0" fontId="0" fillId="5" borderId="1" xfId="0" applyFill="1" applyBorder="1" applyAlignment="1">
      <alignment horizontal="center" vertical="center"/>
    </xf>
    <xf numFmtId="43" fontId="5" fillId="15" borderId="1" xfId="21" applyFont="1" applyFill="1" applyBorder="1" applyAlignment="1">
      <alignment horizontal="center" vertical="center" wrapText="1"/>
    </xf>
    <xf numFmtId="43" fontId="5" fillId="16" borderId="1" xfId="21" applyFont="1" applyFill="1" applyBorder="1" applyAlignment="1">
      <alignment horizontal="center" vertical="center" wrapText="1"/>
    </xf>
    <xf numFmtId="43" fontId="5" fillId="17" borderId="1" xfId="21" applyFont="1" applyFill="1" applyBorder="1" applyAlignment="1">
      <alignment horizontal="center" vertical="center" wrapText="1"/>
    </xf>
    <xf numFmtId="43" fontId="5" fillId="18" borderId="1" xfId="21" applyFont="1" applyFill="1" applyBorder="1" applyAlignment="1">
      <alignment horizontal="center" vertical="center" wrapText="1"/>
    </xf>
    <xf numFmtId="43" fontId="5" fillId="19" borderId="1" xfId="21" applyFont="1" applyFill="1" applyBorder="1" applyAlignment="1">
      <alignment horizontal="center" vertical="center" wrapText="1"/>
    </xf>
    <xf numFmtId="43" fontId="5" fillId="5" borderId="1" xfId="21" applyFont="1" applyFill="1" applyBorder="1" applyAlignment="1">
      <alignment horizontal="center" vertical="center" wrapText="1"/>
    </xf>
    <xf numFmtId="164" fontId="15" fillId="15" borderId="1" xfId="0" applyNumberFormat="1" applyFont="1" applyFill="1" applyBorder="1" applyAlignment="1">
      <alignment horizontal="center" vertical="center"/>
    </xf>
    <xf numFmtId="164" fontId="5" fillId="22" borderId="1" xfId="0" applyNumberFormat="1" applyFont="1" applyFill="1" applyBorder="1" applyAlignment="1">
      <alignment horizontal="center" vertical="center"/>
    </xf>
    <xf numFmtId="43" fontId="15" fillId="0" borderId="1" xfId="21" applyFont="1" applyBorder="1" applyAlignment="1">
      <alignment horizontal="center" vertical="center"/>
    </xf>
    <xf numFmtId="164" fontId="51" fillId="0" borderId="1" xfId="0" applyNumberFormat="1" applyFont="1" applyBorder="1" applyAlignment="1">
      <alignment horizontal="center" vertical="center"/>
    </xf>
    <xf numFmtId="164" fontId="22" fillId="0" borderId="0" xfId="0" applyNumberFormat="1" applyFont="1"/>
    <xf numFmtId="0" fontId="26" fillId="0" borderId="3" xfId="8" applyFont="1" applyBorder="1" applyAlignment="1" applyProtection="1">
      <alignment horizontal="center" vertical="center"/>
      <protection locked="0"/>
    </xf>
    <xf numFmtId="43" fontId="26" fillId="2" borderId="1" xfId="21" applyFont="1" applyFill="1" applyBorder="1" applyAlignment="1">
      <alignment horizontal="center" vertical="center"/>
    </xf>
    <xf numFmtId="164" fontId="26" fillId="2" borderId="1" xfId="0" applyNumberFormat="1" applyFont="1" applyFill="1" applyBorder="1" applyAlignment="1">
      <alignment horizontal="center" vertical="center"/>
    </xf>
    <xf numFmtId="0" fontId="26" fillId="0" borderId="0" xfId="0" applyFont="1" applyAlignment="1">
      <alignment horizontal="left" vertical="center"/>
    </xf>
    <xf numFmtId="0" fontId="26"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167" fontId="42" fillId="10" borderId="1" xfId="0" applyNumberFormat="1" applyFont="1" applyFill="1" applyBorder="1" applyAlignment="1">
      <alignment horizontal="center" vertical="center" wrapText="1"/>
    </xf>
    <xf numFmtId="0" fontId="28" fillId="9" borderId="1" xfId="29" applyFont="1" applyFill="1" applyBorder="1" applyAlignment="1" applyProtection="1">
      <alignment horizontal="center" vertical="center" wrapText="1"/>
      <protection locked="0"/>
    </xf>
    <xf numFmtId="0" fontId="22" fillId="0" borderId="1" xfId="0" applyFont="1" applyBorder="1" applyAlignment="1">
      <alignment horizontal="center" vertical="center"/>
    </xf>
    <xf numFmtId="0" fontId="7" fillId="23" borderId="1" xfId="0" applyFont="1" applyFill="1" applyBorder="1" applyAlignment="1">
      <alignment horizontal="center" vertical="center" wrapText="1"/>
    </xf>
    <xf numFmtId="167" fontId="5" fillId="23" borderId="1" xfId="0" applyNumberFormat="1" applyFont="1" applyFill="1" applyBorder="1" applyAlignment="1">
      <alignment horizontal="center" vertical="center" wrapText="1"/>
    </xf>
    <xf numFmtId="175" fontId="26" fillId="0" borderId="1" xfId="21" applyNumberFormat="1" applyFont="1" applyBorder="1" applyAlignment="1">
      <alignment horizontal="center" vertical="center"/>
    </xf>
    <xf numFmtId="175" fontId="15" fillId="0" borderId="1" xfId="21" applyNumberFormat="1" applyFont="1" applyBorder="1" applyAlignment="1">
      <alignment horizontal="center" vertical="center"/>
    </xf>
    <xf numFmtId="175" fontId="5" fillId="0" borderId="1" xfId="21" applyNumberFormat="1" applyFont="1" applyBorder="1" applyAlignment="1">
      <alignment horizontal="center" vertical="center"/>
    </xf>
    <xf numFmtId="175" fontId="26" fillId="0" borderId="0" xfId="21" applyNumberFormat="1" applyFont="1" applyAlignment="1">
      <alignment horizontal="center" vertical="center"/>
    </xf>
    <xf numFmtId="0" fontId="5" fillId="23" borderId="1" xfId="0" applyFont="1" applyFill="1" applyBorder="1" applyAlignment="1">
      <alignment horizontal="center" vertical="center"/>
    </xf>
    <xf numFmtId="3" fontId="7" fillId="23" borderId="1" xfId="0" applyNumberFormat="1" applyFont="1" applyFill="1" applyBorder="1" applyAlignment="1">
      <alignment horizontal="center" vertical="center" wrapText="1"/>
    </xf>
    <xf numFmtId="0" fontId="5" fillId="23" borderId="1" xfId="0" applyFont="1" applyFill="1" applyBorder="1" applyAlignment="1">
      <alignment horizontal="center" vertical="center" wrapText="1"/>
    </xf>
    <xf numFmtId="0" fontId="7" fillId="23" borderId="1" xfId="0" applyFont="1" applyFill="1" applyBorder="1" applyAlignment="1">
      <alignment horizontal="center" vertical="center"/>
    </xf>
    <xf numFmtId="0" fontId="15" fillId="23" borderId="1" xfId="0" applyFont="1" applyFill="1" applyBorder="1" applyAlignment="1">
      <alignment horizontal="center" vertical="center"/>
    </xf>
    <xf numFmtId="3" fontId="5" fillId="23" borderId="1" xfId="0" applyNumberFormat="1" applyFont="1" applyFill="1" applyBorder="1" applyAlignment="1">
      <alignment horizontal="center" vertical="center" wrapText="1"/>
    </xf>
    <xf numFmtId="3" fontId="7" fillId="23" borderId="1" xfId="0" applyNumberFormat="1" applyFont="1" applyFill="1" applyBorder="1" applyAlignment="1">
      <alignment horizontal="center" vertical="center"/>
    </xf>
    <xf numFmtId="3" fontId="5" fillId="23" borderId="1" xfId="0" applyNumberFormat="1" applyFont="1" applyFill="1" applyBorder="1" applyAlignment="1">
      <alignment horizontal="center" vertical="center"/>
    </xf>
    <xf numFmtId="175" fontId="29" fillId="24" borderId="1" xfId="21" applyNumberFormat="1" applyFont="1" applyFill="1" applyBorder="1" applyAlignment="1">
      <alignment horizontal="center" vertical="center"/>
    </xf>
    <xf numFmtId="175" fontId="6" fillId="24" borderId="1" xfId="21" applyNumberFormat="1" applyFont="1" applyFill="1" applyBorder="1" applyAlignment="1">
      <alignment horizontal="center" vertical="center"/>
    </xf>
    <xf numFmtId="167" fontId="53" fillId="10" borderId="1" xfId="0" applyNumberFormat="1" applyFont="1" applyFill="1" applyBorder="1" applyAlignment="1">
      <alignment horizontal="center" vertical="center" wrapText="1"/>
    </xf>
    <xf numFmtId="0" fontId="52" fillId="5" borderId="2" xfId="0" applyFont="1" applyFill="1" applyBorder="1" applyAlignment="1">
      <alignment horizontal="center" vertical="center" wrapText="1"/>
    </xf>
    <xf numFmtId="0" fontId="52" fillId="5" borderId="1" xfId="0" applyFont="1" applyFill="1" applyBorder="1" applyAlignment="1">
      <alignment horizontal="center" vertical="center" wrapText="1"/>
    </xf>
    <xf numFmtId="166" fontId="56" fillId="5" borderId="2" xfId="0" applyNumberFormat="1" applyFont="1" applyFill="1" applyBorder="1" applyAlignment="1">
      <alignment horizontal="center" vertical="center" wrapText="1"/>
    </xf>
    <xf numFmtId="0" fontId="21" fillId="5" borderId="1" xfId="0" applyFont="1" applyFill="1" applyBorder="1" applyAlignment="1">
      <alignment horizontal="center" vertical="center" wrapText="1"/>
    </xf>
    <xf numFmtId="0" fontId="57" fillId="4" borderId="1" xfId="0" applyFont="1" applyFill="1" applyBorder="1" applyAlignment="1">
      <alignment horizontal="center" vertical="center" wrapText="1"/>
    </xf>
    <xf numFmtId="0" fontId="57" fillId="4" borderId="3" xfId="0" applyFont="1" applyFill="1" applyBorder="1" applyAlignment="1">
      <alignment horizontal="center" vertical="center" wrapText="1"/>
    </xf>
    <xf numFmtId="43" fontId="21" fillId="5" borderId="1" xfId="21" applyFont="1" applyFill="1" applyBorder="1" applyAlignment="1">
      <alignment horizontal="center" vertical="center"/>
    </xf>
    <xf numFmtId="175" fontId="21" fillId="5" borderId="1" xfId="21" applyNumberFormat="1" applyFont="1" applyFill="1" applyBorder="1" applyAlignment="1">
      <alignment horizontal="center" vertical="center"/>
    </xf>
    <xf numFmtId="164" fontId="21" fillId="5" borderId="1" xfId="0" applyNumberFormat="1" applyFont="1" applyFill="1" applyBorder="1" applyAlignment="1">
      <alignment horizontal="center" vertical="center"/>
    </xf>
    <xf numFmtId="175" fontId="21" fillId="5" borderId="1" xfId="0" applyNumberFormat="1" applyFont="1" applyFill="1" applyBorder="1" applyAlignment="1">
      <alignment horizontal="center" vertical="center"/>
    </xf>
    <xf numFmtId="0" fontId="21" fillId="5" borderId="1" xfId="0" applyFont="1" applyFill="1" applyBorder="1" applyAlignment="1">
      <alignment horizontal="center" vertical="center"/>
    </xf>
    <xf numFmtId="0" fontId="54" fillId="2" borderId="1" xfId="0" applyFont="1" applyFill="1" applyBorder="1" applyAlignment="1">
      <alignment horizontal="center" vertical="center" wrapText="1"/>
    </xf>
    <xf numFmtId="0" fontId="54" fillId="0" borderId="1" xfId="0" applyFont="1" applyBorder="1" applyAlignment="1">
      <alignment horizontal="center" vertical="center" wrapText="1"/>
    </xf>
    <xf numFmtId="0" fontId="57" fillId="2" borderId="1" xfId="0" applyFont="1" applyFill="1" applyBorder="1" applyAlignment="1">
      <alignment horizontal="center" vertical="center" wrapText="1"/>
    </xf>
    <xf numFmtId="0" fontId="57" fillId="3" borderId="1" xfId="0" applyFont="1" applyFill="1" applyBorder="1" applyAlignment="1">
      <alignment horizontal="center" vertical="center" wrapText="1"/>
    </xf>
    <xf numFmtId="0" fontId="57" fillId="5" borderId="1" xfId="0" applyFont="1" applyFill="1" applyBorder="1" applyAlignment="1">
      <alignment horizontal="center" vertical="center" wrapText="1"/>
    </xf>
    <xf numFmtId="0" fontId="57" fillId="3" borderId="3" xfId="0" applyFont="1" applyFill="1" applyBorder="1" applyAlignment="1">
      <alignment horizontal="center" vertical="center" wrapText="1"/>
    </xf>
    <xf numFmtId="43" fontId="57" fillId="15" borderId="1" xfId="21" applyFont="1" applyFill="1" applyBorder="1" applyAlignment="1">
      <alignment horizontal="center" vertical="center"/>
    </xf>
    <xf numFmtId="175" fontId="57" fillId="16" borderId="1" xfId="21" applyNumberFormat="1" applyFont="1" applyFill="1" applyBorder="1" applyAlignment="1">
      <alignment horizontal="center" vertical="center"/>
    </xf>
    <xf numFmtId="164" fontId="57" fillId="17" borderId="1" xfId="0" applyNumberFormat="1" applyFont="1" applyFill="1" applyBorder="1" applyAlignment="1">
      <alignment horizontal="center" vertical="center"/>
    </xf>
    <xf numFmtId="164" fontId="57" fillId="18" borderId="1" xfId="0" applyNumberFormat="1" applyFont="1" applyFill="1" applyBorder="1" applyAlignment="1">
      <alignment horizontal="center" vertical="center"/>
    </xf>
    <xf numFmtId="164" fontId="57" fillId="19" borderId="1" xfId="0" applyNumberFormat="1" applyFont="1" applyFill="1" applyBorder="1" applyAlignment="1">
      <alignment horizontal="center" vertical="center"/>
    </xf>
    <xf numFmtId="164" fontId="57" fillId="20" borderId="1" xfId="0" applyNumberFormat="1" applyFont="1" applyFill="1" applyBorder="1" applyAlignment="1">
      <alignment horizontal="center" vertical="center"/>
    </xf>
    <xf numFmtId="3" fontId="52" fillId="5" borderId="1" xfId="0" applyNumberFormat="1" applyFont="1" applyFill="1" applyBorder="1" applyAlignment="1">
      <alignment horizontal="center" vertical="center" wrapText="1"/>
    </xf>
    <xf numFmtId="3" fontId="21" fillId="5" borderId="1" xfId="0" applyNumberFormat="1" applyFont="1" applyFill="1" applyBorder="1" applyAlignment="1">
      <alignment horizontal="center" vertical="center" wrapText="1"/>
    </xf>
    <xf numFmtId="3" fontId="57" fillId="4" borderId="1" xfId="0" applyNumberFormat="1" applyFont="1" applyFill="1" applyBorder="1" applyAlignment="1">
      <alignment horizontal="center" vertical="center" wrapText="1"/>
    </xf>
    <xf numFmtId="3" fontId="57" fillId="4" borderId="3" xfId="0" applyNumberFormat="1" applyFont="1" applyFill="1" applyBorder="1" applyAlignment="1">
      <alignment horizontal="center" vertical="center" wrapText="1"/>
    </xf>
    <xf numFmtId="164" fontId="57" fillId="5" borderId="1" xfId="0" applyNumberFormat="1" applyFont="1" applyFill="1" applyBorder="1" applyAlignment="1">
      <alignment horizontal="center" vertical="center"/>
    </xf>
    <xf numFmtId="3" fontId="54" fillId="2" borderId="1" xfId="0" applyNumberFormat="1" applyFont="1" applyFill="1" applyBorder="1" applyAlignment="1">
      <alignment horizontal="center" vertical="center" wrapText="1"/>
    </xf>
    <xf numFmtId="3" fontId="54" fillId="0" borderId="1" xfId="0" applyNumberFormat="1" applyFont="1" applyBorder="1" applyAlignment="1">
      <alignment horizontal="center" vertical="center"/>
    </xf>
    <xf numFmtId="0" fontId="54" fillId="3" borderId="1" xfId="0" applyFont="1" applyFill="1" applyBorder="1" applyAlignment="1">
      <alignment horizontal="center" vertical="center"/>
    </xf>
    <xf numFmtId="0" fontId="54" fillId="5" borderId="1" xfId="0" applyFont="1" applyFill="1" applyBorder="1" applyAlignment="1">
      <alignment horizontal="center" vertical="center"/>
    </xf>
    <xf numFmtId="0" fontId="54" fillId="3" borderId="3" xfId="0" applyFont="1" applyFill="1" applyBorder="1" applyAlignment="1">
      <alignment horizontal="center" vertical="center"/>
    </xf>
    <xf numFmtId="43" fontId="54" fillId="15" borderId="1" xfId="21" applyFont="1" applyFill="1" applyBorder="1" applyAlignment="1">
      <alignment horizontal="center" vertical="center"/>
    </xf>
    <xf numFmtId="3" fontId="54" fillId="0" borderId="1" xfId="0" applyNumberFormat="1" applyFont="1" applyBorder="1" applyAlignment="1">
      <alignment horizontal="right" vertical="center"/>
    </xf>
    <xf numFmtId="0" fontId="54" fillId="3" borderId="1" xfId="0" applyFont="1" applyFill="1" applyBorder="1"/>
    <xf numFmtId="0" fontId="54" fillId="3" borderId="3" xfId="0" applyFont="1" applyFill="1" applyBorder="1"/>
    <xf numFmtId="0" fontId="54" fillId="2" borderId="2" xfId="0" applyFont="1" applyFill="1" applyBorder="1" applyAlignment="1">
      <alignment horizontal="center" vertical="center" wrapText="1"/>
    </xf>
    <xf numFmtId="0" fontId="57" fillId="0" borderId="0" xfId="0" applyFont="1"/>
    <xf numFmtId="0" fontId="54" fillId="2" borderId="1" xfId="0" applyFont="1" applyFill="1" applyBorder="1" applyAlignment="1">
      <alignment horizontal="center" vertical="top" wrapText="1"/>
    </xf>
    <xf numFmtId="0" fontId="52" fillId="5" borderId="1" xfId="12" applyFont="1" applyFill="1" applyBorder="1" applyAlignment="1">
      <alignment horizontal="center" vertical="center" wrapText="1"/>
    </xf>
    <xf numFmtId="0" fontId="54" fillId="4" borderId="1" xfId="0" applyFont="1" applyFill="1" applyBorder="1" applyAlignment="1">
      <alignment horizontal="center" vertical="center" wrapText="1"/>
    </xf>
    <xf numFmtId="0" fontId="54" fillId="4" borderId="3" xfId="0" applyFont="1" applyFill="1" applyBorder="1" applyAlignment="1">
      <alignment horizontal="center" vertical="center" wrapText="1"/>
    </xf>
    <xf numFmtId="166" fontId="56" fillId="5" borderId="1" xfId="0" applyNumberFormat="1" applyFont="1" applyFill="1" applyBorder="1" applyAlignment="1">
      <alignment horizontal="center" vertical="center" wrapText="1"/>
    </xf>
    <xf numFmtId="0" fontId="57" fillId="5" borderId="2" xfId="0" applyFont="1" applyFill="1" applyBorder="1" applyAlignment="1">
      <alignment horizontal="center" vertical="center" wrapText="1"/>
    </xf>
    <xf numFmtId="0" fontId="57" fillId="3" borderId="2" xfId="0" applyFont="1" applyFill="1" applyBorder="1" applyAlignment="1">
      <alignment horizontal="center" vertical="center" wrapText="1"/>
    </xf>
    <xf numFmtId="0" fontId="57" fillId="3" borderId="10" xfId="0" applyFont="1" applyFill="1" applyBorder="1" applyAlignment="1">
      <alignment horizontal="center" vertical="center" wrapText="1"/>
    </xf>
    <xf numFmtId="0" fontId="57" fillId="0" borderId="1" xfId="0" applyFont="1" applyBorder="1" applyAlignment="1">
      <alignment horizontal="center" vertical="center" wrapText="1"/>
    </xf>
    <xf numFmtId="0" fontId="57" fillId="0" borderId="1" xfId="0" applyFont="1" applyBorder="1" applyAlignment="1">
      <alignment horizontal="center" vertical="center"/>
    </xf>
    <xf numFmtId="1" fontId="59" fillId="3" borderId="1" xfId="0" applyNumberFormat="1" applyFont="1" applyFill="1" applyBorder="1" applyAlignment="1">
      <alignment horizontal="center" vertical="center" wrapText="1"/>
    </xf>
    <xf numFmtId="1" fontId="59" fillId="5" borderId="1" xfId="0" applyNumberFormat="1" applyFont="1" applyFill="1" applyBorder="1" applyAlignment="1">
      <alignment horizontal="center" vertical="center" wrapText="1"/>
    </xf>
    <xf numFmtId="175" fontId="57" fillId="0" borderId="0" xfId="21" applyNumberFormat="1" applyFont="1"/>
    <xf numFmtId="0" fontId="54" fillId="5" borderId="1" xfId="0" applyFont="1" applyFill="1" applyBorder="1" applyAlignment="1">
      <alignment horizontal="center" vertical="center" wrapText="1"/>
    </xf>
    <xf numFmtId="3" fontId="54" fillId="5" borderId="1" xfId="0" applyNumberFormat="1" applyFont="1" applyFill="1" applyBorder="1" applyAlignment="1">
      <alignment horizontal="center" vertical="center" wrapText="1"/>
    </xf>
    <xf numFmtId="166" fontId="60" fillId="5" borderId="2" xfId="0" applyNumberFormat="1" applyFont="1" applyFill="1" applyBorder="1" applyAlignment="1">
      <alignment horizontal="center" vertical="center" wrapText="1"/>
    </xf>
    <xf numFmtId="3" fontId="57" fillId="5" borderId="1" xfId="0" applyNumberFormat="1" applyFont="1" applyFill="1" applyBorder="1" applyAlignment="1">
      <alignment horizontal="center" vertical="center" wrapText="1"/>
    </xf>
    <xf numFmtId="0" fontId="54" fillId="5" borderId="1" xfId="0" applyFont="1" applyFill="1" applyBorder="1"/>
    <xf numFmtId="3" fontId="57" fillId="2" borderId="1" xfId="0" applyNumberFormat="1" applyFont="1" applyFill="1" applyBorder="1" applyAlignment="1">
      <alignment horizontal="center" vertical="center" wrapText="1"/>
    </xf>
    <xf numFmtId="3" fontId="57" fillId="2" borderId="3" xfId="0" applyNumberFormat="1" applyFont="1" applyFill="1" applyBorder="1" applyAlignment="1">
      <alignment horizontal="center" vertical="center" wrapText="1"/>
    </xf>
    <xf numFmtId="3" fontId="54" fillId="2" borderId="6" xfId="0" applyNumberFormat="1" applyFont="1" applyFill="1" applyBorder="1" applyAlignment="1">
      <alignment horizontal="center" vertical="center" wrapText="1"/>
    </xf>
    <xf numFmtId="3" fontId="54" fillId="0" borderId="1" xfId="0" applyNumberFormat="1" applyFont="1" applyBorder="1" applyAlignment="1">
      <alignment horizontal="center" vertical="center" wrapText="1"/>
    </xf>
    <xf numFmtId="0" fontId="57" fillId="2" borderId="3" xfId="0" applyFont="1" applyFill="1" applyBorder="1" applyAlignment="1">
      <alignment horizontal="center" vertical="center" wrapText="1"/>
    </xf>
    <xf numFmtId="0" fontId="61" fillId="2" borderId="1" xfId="0" applyFont="1" applyFill="1" applyBorder="1" applyAlignment="1">
      <alignment horizontal="center" vertical="center" wrapText="1"/>
    </xf>
    <xf numFmtId="43" fontId="21" fillId="15" borderId="1" xfId="21" applyFont="1" applyFill="1" applyBorder="1" applyAlignment="1">
      <alignment horizontal="center" vertical="center"/>
    </xf>
    <xf numFmtId="0" fontId="54" fillId="2" borderId="1" xfId="6" applyFont="1" applyFill="1" applyBorder="1" applyAlignment="1">
      <alignment horizontal="center" vertical="center" wrapText="1"/>
    </xf>
    <xf numFmtId="1" fontId="52" fillId="5" borderId="1" xfId="0" applyNumberFormat="1" applyFont="1" applyFill="1" applyBorder="1" applyAlignment="1">
      <alignment horizontal="center" vertical="center" wrapText="1"/>
    </xf>
    <xf numFmtId="168" fontId="52" fillId="5" borderId="1" xfId="0" applyNumberFormat="1" applyFont="1" applyFill="1" applyBorder="1" applyAlignment="1">
      <alignment horizontal="center" vertical="center" wrapText="1"/>
    </xf>
    <xf numFmtId="1" fontId="56" fillId="5" borderId="2" xfId="0" applyNumberFormat="1" applyFont="1" applyFill="1" applyBorder="1" applyAlignment="1">
      <alignment horizontal="center" vertical="center" wrapText="1"/>
    </xf>
    <xf numFmtId="1" fontId="57" fillId="4" borderId="1" xfId="0" applyNumberFormat="1" applyFont="1" applyFill="1" applyBorder="1" applyAlignment="1">
      <alignment horizontal="center" vertical="center" wrapText="1"/>
    </xf>
    <xf numFmtId="1" fontId="57" fillId="4" borderId="3" xfId="0" applyNumberFormat="1" applyFont="1" applyFill="1" applyBorder="1" applyAlignment="1">
      <alignment horizontal="center" vertical="center" wrapText="1"/>
    </xf>
    <xf numFmtId="43" fontId="57" fillId="5" borderId="1" xfId="21" applyFont="1" applyFill="1" applyBorder="1" applyAlignment="1">
      <alignment horizontal="center" vertical="center"/>
    </xf>
    <xf numFmtId="166" fontId="57" fillId="2" borderId="1" xfId="0" applyNumberFormat="1" applyFont="1" applyFill="1" applyBorder="1" applyAlignment="1">
      <alignment horizontal="center" vertical="center" wrapText="1"/>
    </xf>
    <xf numFmtId="166" fontId="54" fillId="0" borderId="1" xfId="0" applyNumberFormat="1" applyFont="1" applyBorder="1" applyAlignment="1">
      <alignment horizontal="center" vertical="center" wrapText="1"/>
    </xf>
    <xf numFmtId="0" fontId="62" fillId="0" borderId="0" xfId="0" applyFont="1" applyAlignment="1">
      <alignment horizontal="center" vertical="center" wrapText="1"/>
    </xf>
    <xf numFmtId="0" fontId="57" fillId="2" borderId="1" xfId="1" applyFont="1" applyFill="1" applyBorder="1" applyAlignment="1">
      <alignment horizontal="center" vertical="center" wrapText="1"/>
    </xf>
    <xf numFmtId="167" fontId="52" fillId="5" borderId="1" xfId="0" applyNumberFormat="1" applyFont="1" applyFill="1" applyBorder="1" applyAlignment="1">
      <alignment horizontal="center" vertical="center" wrapText="1"/>
    </xf>
    <xf numFmtId="167" fontId="54" fillId="5" borderId="1" xfId="0" applyNumberFormat="1" applyFont="1" applyFill="1" applyBorder="1" applyAlignment="1">
      <alignment horizontal="center" vertical="center" wrapText="1"/>
    </xf>
    <xf numFmtId="167" fontId="57" fillId="4" borderId="1" xfId="0" applyNumberFormat="1" applyFont="1" applyFill="1" applyBorder="1" applyAlignment="1">
      <alignment horizontal="center" vertical="center" wrapText="1"/>
    </xf>
    <xf numFmtId="167" fontId="57" fillId="4" borderId="3" xfId="0" applyNumberFormat="1" applyFont="1" applyFill="1" applyBorder="1" applyAlignment="1">
      <alignment horizontal="center" vertical="center" wrapText="1"/>
    </xf>
    <xf numFmtId="0" fontId="57" fillId="4" borderId="1" xfId="0" applyFont="1" applyFill="1" applyBorder="1" applyAlignment="1">
      <alignment horizontal="center" vertical="center"/>
    </xf>
    <xf numFmtId="0" fontId="57" fillId="5" borderId="1" xfId="0" applyFont="1" applyFill="1" applyBorder="1" applyAlignment="1">
      <alignment horizontal="center" vertical="center"/>
    </xf>
    <xf numFmtId="0" fontId="57" fillId="4" borderId="3" xfId="0" applyFont="1" applyFill="1" applyBorder="1" applyAlignment="1">
      <alignment horizontal="center" vertical="center"/>
    </xf>
    <xf numFmtId="166" fontId="21" fillId="5" borderId="1" xfId="0" applyNumberFormat="1" applyFont="1" applyFill="1" applyBorder="1" applyAlignment="1">
      <alignment horizontal="center" vertical="center" wrapText="1"/>
    </xf>
    <xf numFmtId="0" fontId="54" fillId="2" borderId="3" xfId="0" applyFont="1" applyFill="1" applyBorder="1" applyAlignment="1">
      <alignment horizontal="center" vertical="center" wrapText="1"/>
    </xf>
    <xf numFmtId="0" fontId="54" fillId="0" borderId="0" xfId="0" applyFont="1" applyAlignment="1">
      <alignment horizontal="center" vertical="center" wrapText="1"/>
    </xf>
    <xf numFmtId="43" fontId="21" fillId="5" borderId="0" xfId="21" applyFont="1" applyFill="1"/>
    <xf numFmtId="164" fontId="57" fillId="5" borderId="0" xfId="0" applyNumberFormat="1" applyFont="1" applyFill="1"/>
    <xf numFmtId="166" fontId="57" fillId="2" borderId="2" xfId="0" applyNumberFormat="1" applyFont="1" applyFill="1" applyBorder="1" applyAlignment="1">
      <alignment horizontal="center" vertical="center" wrapText="1"/>
    </xf>
    <xf numFmtId="43" fontId="57" fillId="15" borderId="1" xfId="21" applyFont="1" applyFill="1" applyBorder="1"/>
    <xf numFmtId="175" fontId="57" fillId="16" borderId="1" xfId="21" applyNumberFormat="1" applyFont="1" applyFill="1" applyBorder="1"/>
    <xf numFmtId="164" fontId="57" fillId="17" borderId="1" xfId="0" applyNumberFormat="1" applyFont="1" applyFill="1" applyBorder="1"/>
    <xf numFmtId="164" fontId="57" fillId="18" borderId="1" xfId="0" applyNumberFormat="1" applyFont="1" applyFill="1" applyBorder="1"/>
    <xf numFmtId="164" fontId="57" fillId="19" borderId="1" xfId="0" applyNumberFormat="1" applyFont="1" applyFill="1" applyBorder="1"/>
    <xf numFmtId="164" fontId="57" fillId="20" borderId="1" xfId="0" applyNumberFormat="1" applyFont="1" applyFill="1" applyBorder="1"/>
    <xf numFmtId="43" fontId="57" fillId="15" borderId="3" xfId="21" applyFont="1" applyFill="1" applyBorder="1"/>
    <xf numFmtId="0" fontId="57" fillId="5" borderId="9" xfId="0" applyFont="1" applyFill="1" applyBorder="1" applyAlignment="1">
      <alignment horizontal="center" vertical="center" wrapText="1"/>
    </xf>
    <xf numFmtId="43" fontId="57" fillId="5" borderId="9" xfId="21" applyFont="1" applyFill="1" applyBorder="1"/>
    <xf numFmtId="164" fontId="57" fillId="5" borderId="1" xfId="0" applyNumberFormat="1" applyFont="1" applyFill="1" applyBorder="1"/>
    <xf numFmtId="0" fontId="62" fillId="0" borderId="1" xfId="0" applyFont="1" applyBorder="1" applyAlignment="1">
      <alignment horizontal="center" vertical="center" wrapText="1"/>
    </xf>
    <xf numFmtId="0" fontId="21" fillId="2" borderId="1" xfId="0" applyFont="1" applyFill="1" applyBorder="1" applyAlignment="1">
      <alignment horizontal="center" vertical="center" wrapText="1"/>
    </xf>
    <xf numFmtId="0" fontId="21" fillId="0" borderId="1" xfId="0" applyFont="1" applyBorder="1" applyAlignment="1">
      <alignment horizontal="center" vertical="center"/>
    </xf>
    <xf numFmtId="164" fontId="57" fillId="0" borderId="0" xfId="0" applyNumberFormat="1" applyFont="1"/>
    <xf numFmtId="0" fontId="21" fillId="5" borderId="2" xfId="0" applyFont="1" applyFill="1" applyBorder="1" applyAlignment="1">
      <alignment horizontal="center" vertical="center" wrapText="1"/>
    </xf>
    <xf numFmtId="0" fontId="21" fillId="5" borderId="2" xfId="0" applyFont="1" applyFill="1" applyBorder="1" applyAlignment="1">
      <alignment horizontal="left" vertical="center" wrapText="1"/>
    </xf>
    <xf numFmtId="0" fontId="54" fillId="2" borderId="1" xfId="0" applyFont="1" applyFill="1" applyBorder="1" applyAlignment="1">
      <alignment horizontal="left" vertical="center" wrapText="1"/>
    </xf>
    <xf numFmtId="0" fontId="21" fillId="5" borderId="1" xfId="0" applyFont="1" applyFill="1" applyBorder="1" applyAlignment="1">
      <alignment horizontal="left" vertical="center" wrapText="1"/>
    </xf>
    <xf numFmtId="3" fontId="54" fillId="0" borderId="3" xfId="0" applyNumberFormat="1" applyFont="1" applyBorder="1" applyAlignment="1">
      <alignment horizontal="center" vertical="center" wrapText="1"/>
    </xf>
    <xf numFmtId="3" fontId="54" fillId="2" borderId="1" xfId="0" applyNumberFormat="1" applyFont="1" applyFill="1" applyBorder="1" applyAlignment="1">
      <alignment horizontal="left" vertical="center" wrapText="1"/>
    </xf>
    <xf numFmtId="0" fontId="52" fillId="5" borderId="1" xfId="0" applyFont="1" applyFill="1" applyBorder="1" applyAlignment="1">
      <alignment horizontal="left" vertical="center" wrapText="1"/>
    </xf>
    <xf numFmtId="0" fontId="54" fillId="0" borderId="1" xfId="0" applyFont="1" applyBorder="1" applyAlignment="1">
      <alignment horizontal="left" vertical="center" wrapText="1"/>
    </xf>
    <xf numFmtId="0" fontId="54" fillId="2" borderId="2" xfId="0" applyFont="1" applyFill="1" applyBorder="1" applyAlignment="1">
      <alignment horizontal="left" vertical="center" wrapText="1"/>
    </xf>
    <xf numFmtId="0" fontId="57" fillId="5" borderId="1" xfId="0" applyFont="1" applyFill="1" applyBorder="1" applyAlignment="1">
      <alignment horizontal="left" vertical="center" wrapText="1"/>
    </xf>
    <xf numFmtId="0" fontId="57" fillId="4" borderId="1" xfId="0" applyFont="1" applyFill="1" applyBorder="1" applyAlignment="1">
      <alignment horizontal="left" vertical="center" wrapText="1"/>
    </xf>
    <xf numFmtId="1" fontId="21" fillId="5" borderId="1" xfId="0" applyNumberFormat="1" applyFont="1" applyFill="1" applyBorder="1" applyAlignment="1">
      <alignment horizontal="center" vertical="center" wrapText="1"/>
    </xf>
    <xf numFmtId="1" fontId="21" fillId="5" borderId="1" xfId="0" applyNumberFormat="1" applyFont="1" applyFill="1" applyBorder="1" applyAlignment="1">
      <alignment horizontal="left" vertical="center" wrapText="1"/>
    </xf>
    <xf numFmtId="1" fontId="52" fillId="5" borderId="1" xfId="0" applyNumberFormat="1" applyFont="1" applyFill="1" applyBorder="1" applyAlignment="1">
      <alignment horizontal="left" vertical="center" wrapText="1"/>
    </xf>
    <xf numFmtId="0" fontId="63" fillId="0" borderId="1" xfId="0" applyFont="1" applyBorder="1" applyAlignment="1">
      <alignment horizontal="left" vertical="center" wrapText="1"/>
    </xf>
    <xf numFmtId="0" fontId="64" fillId="2" borderId="1" xfId="0" applyFont="1" applyFill="1" applyBorder="1" applyAlignment="1">
      <alignment horizontal="left" vertical="center" wrapText="1"/>
    </xf>
    <xf numFmtId="3" fontId="57" fillId="0" borderId="1" xfId="0" applyNumberFormat="1" applyFont="1" applyBorder="1" applyAlignment="1">
      <alignment horizontal="center" vertical="center" wrapText="1"/>
    </xf>
    <xf numFmtId="0" fontId="54" fillId="5" borderId="1" xfId="0" applyFont="1" applyFill="1" applyBorder="1" applyAlignment="1">
      <alignment horizontal="left" vertical="center" wrapText="1"/>
    </xf>
    <xf numFmtId="3" fontId="57" fillId="0" borderId="3" xfId="0" applyNumberFormat="1" applyFont="1" applyBorder="1" applyAlignment="1">
      <alignment horizontal="center" vertical="center" wrapText="1"/>
    </xf>
    <xf numFmtId="0" fontId="57" fillId="0" borderId="1" xfId="0" applyFont="1" applyBorder="1" applyAlignment="1">
      <alignment horizontal="left" vertical="center" wrapText="1"/>
    </xf>
    <xf numFmtId="0" fontId="21" fillId="0" borderId="0" xfId="0" applyFont="1"/>
    <xf numFmtId="0" fontId="27" fillId="5" borderId="9" xfId="0" applyFont="1" applyFill="1" applyBorder="1"/>
    <xf numFmtId="164" fontId="6" fillId="0" borderId="0" xfId="0" applyNumberFormat="1" applyFont="1"/>
    <xf numFmtId="43" fontId="5" fillId="15" borderId="5" xfId="21" applyFont="1" applyFill="1" applyBorder="1" applyAlignment="1">
      <alignment horizontal="center" vertical="center" wrapText="1"/>
    </xf>
    <xf numFmtId="43" fontId="5" fillId="23" borderId="5" xfId="21" applyFont="1" applyFill="1" applyBorder="1" applyAlignment="1">
      <alignment horizontal="center" vertical="center" wrapText="1"/>
    </xf>
    <xf numFmtId="43" fontId="6" fillId="23" borderId="1" xfId="21" applyFont="1" applyFill="1" applyBorder="1" applyAlignment="1">
      <alignment horizontal="center" vertical="center" wrapText="1"/>
    </xf>
    <xf numFmtId="43" fontId="5" fillId="23" borderId="1" xfId="21" applyFont="1" applyFill="1" applyBorder="1" applyAlignment="1">
      <alignment horizontal="center" vertical="center" wrapText="1"/>
    </xf>
    <xf numFmtId="0" fontId="26" fillId="5" borderId="1" xfId="0" applyFont="1" applyFill="1" applyBorder="1" applyAlignment="1">
      <alignment horizontal="center" vertical="center"/>
    </xf>
    <xf numFmtId="0" fontId="26" fillId="5" borderId="3" xfId="0" applyFont="1" applyFill="1" applyBorder="1" applyAlignment="1">
      <alignment horizontal="center" vertical="center"/>
    </xf>
    <xf numFmtId="164" fontId="26" fillId="0" borderId="3" xfId="0" applyNumberFormat="1" applyFont="1" applyBorder="1" applyAlignment="1">
      <alignment horizontal="center" vertical="center"/>
    </xf>
    <xf numFmtId="164" fontId="29" fillId="2" borderId="1" xfId="0" applyNumberFormat="1" applyFont="1" applyFill="1" applyBorder="1" applyAlignment="1">
      <alignment horizontal="center" vertical="center"/>
    </xf>
    <xf numFmtId="164" fontId="29" fillId="5" borderId="1" xfId="0" applyNumberFormat="1" applyFont="1" applyFill="1" applyBorder="1" applyAlignment="1">
      <alignment horizontal="center" vertical="center"/>
    </xf>
    <xf numFmtId="164" fontId="26" fillId="5" borderId="1" xfId="0" applyNumberFormat="1" applyFont="1" applyFill="1" applyBorder="1" applyAlignment="1">
      <alignment horizontal="center" vertical="center"/>
    </xf>
    <xf numFmtId="43" fontId="26" fillId="0" borderId="1" xfId="21" applyFont="1" applyBorder="1" applyAlignment="1">
      <alignment horizontal="center" vertical="center"/>
    </xf>
    <xf numFmtId="0" fontId="0" fillId="0" borderId="1" xfId="0" applyBorder="1"/>
    <xf numFmtId="164" fontId="66" fillId="15" borderId="1" xfId="0" applyNumberFormat="1" applyFont="1" applyFill="1" applyBorder="1" applyAlignment="1">
      <alignment horizontal="center" vertical="center"/>
    </xf>
    <xf numFmtId="164" fontId="66" fillId="16" borderId="1" xfId="0" applyNumberFormat="1" applyFont="1" applyFill="1" applyBorder="1" applyAlignment="1">
      <alignment horizontal="center" vertical="center"/>
    </xf>
    <xf numFmtId="164" fontId="66" fillId="17" borderId="1" xfId="0" applyNumberFormat="1" applyFont="1" applyFill="1" applyBorder="1" applyAlignment="1">
      <alignment horizontal="center" vertical="center"/>
    </xf>
    <xf numFmtId="164" fontId="66" fillId="18" borderId="1" xfId="0" applyNumberFormat="1" applyFont="1" applyFill="1" applyBorder="1" applyAlignment="1">
      <alignment horizontal="center" vertical="center"/>
    </xf>
    <xf numFmtId="164" fontId="66" fillId="19" borderId="1" xfId="0" applyNumberFormat="1" applyFont="1" applyFill="1" applyBorder="1" applyAlignment="1">
      <alignment horizontal="center" vertical="center"/>
    </xf>
    <xf numFmtId="43" fontId="5" fillId="0" borderId="1" xfId="21" applyFont="1" applyFill="1" applyBorder="1" applyAlignment="1">
      <alignment horizontal="center" vertical="center" wrapText="1"/>
    </xf>
    <xf numFmtId="166" fontId="20" fillId="0" borderId="1" xfId="0" applyNumberFormat="1" applyFont="1" applyBorder="1" applyAlignment="1">
      <alignment horizontal="center" vertical="center" wrapText="1"/>
    </xf>
    <xf numFmtId="167" fontId="6" fillId="24" borderId="1" xfId="0" applyNumberFormat="1" applyFont="1" applyFill="1" applyBorder="1" applyAlignment="1">
      <alignment horizontal="center" vertical="center" wrapText="1"/>
    </xf>
    <xf numFmtId="175" fontId="5" fillId="0" borderId="1" xfId="21" applyNumberFormat="1" applyFont="1" applyFill="1" applyBorder="1" applyAlignment="1">
      <alignment horizontal="center" vertical="center"/>
    </xf>
    <xf numFmtId="175" fontId="29" fillId="0" borderId="0" xfId="21" applyNumberFormat="1" applyFont="1" applyAlignment="1">
      <alignment horizontal="center" vertical="center"/>
    </xf>
    <xf numFmtId="175" fontId="29" fillId="24" borderId="0" xfId="21" applyNumberFormat="1" applyFont="1" applyFill="1" applyAlignment="1">
      <alignment horizontal="center" vertical="center"/>
    </xf>
    <xf numFmtId="164" fontId="5" fillId="0" borderId="1" xfId="0" applyNumberFormat="1" applyFont="1" applyBorder="1" applyAlignment="1">
      <alignment horizontal="center" vertical="center"/>
    </xf>
    <xf numFmtId="43" fontId="26" fillId="0" borderId="0" xfId="21" applyFont="1" applyAlignment="1">
      <alignment horizontal="center"/>
    </xf>
    <xf numFmtId="43" fontId="15" fillId="15" borderId="1" xfId="21" applyFont="1" applyFill="1" applyBorder="1" applyAlignment="1">
      <alignment horizontal="center" vertical="center"/>
    </xf>
    <xf numFmtId="164" fontId="6" fillId="24" borderId="1" xfId="0" applyNumberFormat="1" applyFont="1" applyFill="1" applyBorder="1" applyAlignment="1">
      <alignment horizontal="center" vertical="center"/>
    </xf>
    <xf numFmtId="43" fontId="6" fillId="0" borderId="1" xfId="21" applyFont="1" applyBorder="1" applyAlignment="1">
      <alignment horizontal="center" vertical="center"/>
    </xf>
    <xf numFmtId="0" fontId="5" fillId="0" borderId="1" xfId="0" applyFont="1" applyBorder="1"/>
    <xf numFmtId="3" fontId="22" fillId="0" borderId="0" xfId="0" applyNumberFormat="1" applyFont="1" applyAlignment="1">
      <alignment horizontal="center" vertical="center"/>
    </xf>
    <xf numFmtId="164" fontId="5" fillId="0" borderId="0" xfId="0" applyNumberFormat="1" applyFont="1" applyFill="1"/>
    <xf numFmtId="175" fontId="57" fillId="0" borderId="0" xfId="0" applyNumberFormat="1" applyFont="1"/>
    <xf numFmtId="0" fontId="0" fillId="2" borderId="0" xfId="0" applyFill="1"/>
    <xf numFmtId="0" fontId="27" fillId="5" borderId="17" xfId="0" applyFont="1" applyFill="1" applyBorder="1" applyAlignment="1">
      <alignment vertical="center" wrapText="1"/>
    </xf>
    <xf numFmtId="0" fontId="27" fillId="5" borderId="9" xfId="0" applyFont="1" applyFill="1" applyBorder="1" applyAlignment="1">
      <alignment vertical="center" wrapText="1"/>
    </xf>
    <xf numFmtId="0" fontId="27" fillId="5" borderId="18" xfId="0" applyFont="1" applyFill="1" applyBorder="1" applyAlignment="1">
      <alignment vertical="center" wrapText="1"/>
    </xf>
    <xf numFmtId="0" fontId="27" fillId="2" borderId="1" xfId="0" applyFont="1" applyFill="1" applyBorder="1" applyAlignment="1">
      <alignment vertical="center" wrapText="1"/>
    </xf>
    <xf numFmtId="43" fontId="0" fillId="2" borderId="1" xfId="21" applyFont="1" applyFill="1" applyBorder="1"/>
    <xf numFmtId="43" fontId="38" fillId="0" borderId="1" xfId="0" applyNumberFormat="1" applyFont="1" applyBorder="1"/>
    <xf numFmtId="43" fontId="29" fillId="19" borderId="1" xfId="21" applyFont="1" applyFill="1" applyBorder="1" applyAlignment="1">
      <alignment horizontal="center"/>
    </xf>
    <xf numFmtId="43" fontId="29" fillId="18" borderId="1" xfId="21" applyFont="1" applyFill="1" applyBorder="1" applyAlignment="1">
      <alignment horizontal="center"/>
    </xf>
    <xf numFmtId="43" fontId="29" fillId="17" borderId="1" xfId="21" applyFont="1" applyFill="1" applyBorder="1" applyAlignment="1">
      <alignment horizontal="center"/>
    </xf>
    <xf numFmtId="43" fontId="29" fillId="16" borderId="1" xfId="21" applyFont="1" applyFill="1" applyBorder="1" applyAlignment="1">
      <alignment horizontal="center"/>
    </xf>
    <xf numFmtId="43" fontId="29" fillId="2" borderId="1" xfId="21" applyFont="1" applyFill="1" applyBorder="1"/>
    <xf numFmtId="164" fontId="0" fillId="0" borderId="0" xfId="0" applyNumberFormat="1"/>
    <xf numFmtId="0" fontId="26" fillId="0" borderId="1" xfId="21" applyNumberFormat="1" applyFont="1" applyBorder="1" applyAlignment="1">
      <alignment horizontal="center" vertical="center"/>
    </xf>
    <xf numFmtId="164" fontId="26" fillId="0" borderId="0" xfId="0" applyNumberFormat="1" applyFont="1" applyAlignment="1">
      <alignment horizontal="center"/>
    </xf>
    <xf numFmtId="0" fontId="54" fillId="25" borderId="1" xfId="0" applyFont="1" applyFill="1" applyBorder="1" applyAlignment="1">
      <alignment horizontal="center" vertical="center" wrapText="1"/>
    </xf>
    <xf numFmtId="0" fontId="26" fillId="25" borderId="1" xfId="8" applyFont="1" applyFill="1" applyBorder="1" applyAlignment="1" applyProtection="1">
      <alignment horizontal="center" vertical="center"/>
      <protection locked="0"/>
    </xf>
    <xf numFmtId="167" fontId="5" fillId="25" borderId="1" xfId="0" applyNumberFormat="1" applyFont="1" applyFill="1" applyBorder="1" applyAlignment="1">
      <alignment horizontal="center" vertical="center" wrapText="1"/>
    </xf>
    <xf numFmtId="43" fontId="5" fillId="25" borderId="1" xfId="21" applyFont="1" applyFill="1" applyBorder="1" applyAlignment="1">
      <alignment horizontal="center" vertical="center" wrapText="1"/>
    </xf>
    <xf numFmtId="0" fontId="26" fillId="0" borderId="1" xfId="8" applyFont="1" applyBorder="1" applyAlignment="1">
      <alignment horizontal="center" vertical="center" wrapText="1"/>
    </xf>
    <xf numFmtId="167" fontId="26" fillId="0" borderId="1" xfId="0" applyNumberFormat="1" applyFont="1" applyBorder="1" applyAlignment="1">
      <alignment horizontal="center" vertical="center" wrapText="1"/>
    </xf>
    <xf numFmtId="166" fontId="29"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7" fillId="0" borderId="1" xfId="0" applyFont="1" applyBorder="1" applyAlignment="1">
      <alignment horizontal="center" vertical="center" wrapText="1"/>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43" fontId="28" fillId="9" borderId="1" xfId="21" applyFont="1" applyFill="1" applyBorder="1" applyAlignment="1" applyProtection="1">
      <alignment horizontal="center" vertical="center" wrapText="1"/>
      <protection locked="0"/>
    </xf>
    <xf numFmtId="0" fontId="28" fillId="9" borderId="1" xfId="29" applyFont="1" applyFill="1" applyBorder="1" applyAlignment="1" applyProtection="1">
      <alignment horizontal="center" vertical="center" wrapText="1"/>
      <protection locked="0"/>
    </xf>
    <xf numFmtId="167" fontId="42" fillId="10" borderId="1" xfId="0" applyNumberFormat="1" applyFont="1" applyFill="1" applyBorder="1" applyAlignment="1">
      <alignment horizontal="center" vertical="center" wrapText="1"/>
    </xf>
    <xf numFmtId="0" fontId="27" fillId="10" borderId="1" xfId="0" applyFont="1" applyFill="1" applyBorder="1" applyAlignment="1">
      <alignment horizontal="center" vertical="center" wrapText="1"/>
    </xf>
    <xf numFmtId="0" fontId="42" fillId="10" borderId="1" xfId="0" applyFont="1" applyFill="1" applyBorder="1" applyAlignment="1">
      <alignment horizontal="center" vertical="center" wrapText="1"/>
    </xf>
    <xf numFmtId="166" fontId="42" fillId="10" borderId="1" xfId="0" applyNumberFormat="1" applyFont="1" applyFill="1" applyBorder="1" applyAlignment="1">
      <alignment horizontal="center" vertical="center" wrapText="1"/>
    </xf>
    <xf numFmtId="175" fontId="28" fillId="9" borderId="1" xfId="21" applyNumberFormat="1" applyFont="1" applyFill="1" applyBorder="1" applyAlignment="1" applyProtection="1">
      <alignment horizontal="center" vertical="center" wrapText="1"/>
      <protection locked="0"/>
    </xf>
    <xf numFmtId="0" fontId="22" fillId="0" borderId="1" xfId="0" applyFont="1" applyBorder="1" applyAlignment="1">
      <alignment horizontal="center" vertical="center"/>
    </xf>
    <xf numFmtId="43" fontId="65" fillId="0" borderId="1" xfId="21" applyFont="1" applyBorder="1"/>
    <xf numFmtId="164" fontId="38" fillId="0" borderId="1" xfId="0" applyNumberFormat="1" applyFont="1" applyBorder="1"/>
    <xf numFmtId="164" fontId="65" fillId="0" borderId="1" xfId="0" applyNumberFormat="1" applyFont="1" applyBorder="1"/>
    <xf numFmtId="0" fontId="7" fillId="0" borderId="1" xfId="0" applyFont="1" applyBorder="1" applyAlignment="1">
      <alignment horizontal="center" wrapText="1"/>
    </xf>
    <xf numFmtId="0" fontId="22" fillId="0" borderId="1" xfId="0" applyFont="1" applyBorder="1"/>
    <xf numFmtId="164" fontId="27" fillId="0" borderId="1" xfId="0" applyNumberFormat="1" applyFont="1" applyBorder="1" applyAlignment="1">
      <alignment horizontal="center" vertical="center"/>
    </xf>
    <xf numFmtId="0" fontId="38" fillId="0" borderId="1" xfId="0" applyFont="1" applyBorder="1" applyAlignment="1">
      <alignment horizontal="center"/>
    </xf>
    <xf numFmtId="0" fontId="26" fillId="0" borderId="3" xfId="0" applyFont="1" applyBorder="1" applyAlignment="1">
      <alignment horizontal="center"/>
    </xf>
    <xf numFmtId="0" fontId="0" fillId="0" borderId="3" xfId="0" applyBorder="1"/>
    <xf numFmtId="43" fontId="0" fillId="0" borderId="0" xfId="0" applyNumberFormat="1"/>
    <xf numFmtId="175" fontId="0" fillId="0" borderId="0" xfId="0" applyNumberFormat="1"/>
    <xf numFmtId="164" fontId="5" fillId="0" borderId="0" xfId="0" applyNumberFormat="1" applyFont="1"/>
    <xf numFmtId="0" fontId="30"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64" fontId="22" fillId="0" borderId="1" xfId="0" applyNumberFormat="1" applyFont="1" applyBorder="1" applyAlignment="1">
      <alignment horizontal="center" vertical="center"/>
    </xf>
    <xf numFmtId="0" fontId="52" fillId="5" borderId="1" xfId="0" applyFont="1" applyFill="1" applyBorder="1" applyAlignment="1">
      <alignment horizontal="center" vertical="center" wrapText="1"/>
    </xf>
    <xf numFmtId="0" fontId="54" fillId="0" borderId="1" xfId="0" applyFont="1" applyBorder="1" applyAlignment="1">
      <alignment horizontal="center" vertical="center" wrapText="1"/>
    </xf>
    <xf numFmtId="3" fontId="54" fillId="2" borderId="1" xfId="0" applyNumberFormat="1" applyFont="1" applyFill="1" applyBorder="1" applyAlignment="1">
      <alignment horizontal="center" vertical="center" wrapText="1"/>
    </xf>
    <xf numFmtId="164" fontId="0" fillId="0" borderId="0" xfId="0" applyNumberFormat="1"/>
    <xf numFmtId="164" fontId="22" fillId="23" borderId="1" xfId="0" applyNumberFormat="1" applyFont="1" applyFill="1" applyBorder="1"/>
    <xf numFmtId="0" fontId="26" fillId="0" borderId="1" xfId="0" applyFont="1" applyBorder="1" applyAlignment="1">
      <alignment horizontal="left" vertical="center"/>
    </xf>
    <xf numFmtId="0" fontId="26" fillId="0" borderId="1" xfId="0" applyFont="1" applyBorder="1"/>
    <xf numFmtId="0" fontId="47" fillId="23" borderId="1" xfId="0" applyFont="1" applyFill="1" applyBorder="1"/>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6" fillId="2" borderId="1" xfId="0" applyFont="1" applyFill="1" applyBorder="1" applyAlignment="1">
      <alignment horizontal="center" vertical="center"/>
    </xf>
    <xf numFmtId="0" fontId="30" fillId="2" borderId="1" xfId="0" applyFont="1" applyFill="1" applyBorder="1" applyAlignment="1">
      <alignment horizontal="center" vertical="center" wrapText="1"/>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26" fillId="0" borderId="1" xfId="0" applyFont="1" applyBorder="1" applyAlignment="1">
      <alignment horizontal="center"/>
    </xf>
    <xf numFmtId="167" fontId="26" fillId="2" borderId="1" xfId="0" applyNumberFormat="1" applyFont="1" applyFill="1" applyBorder="1" applyAlignment="1">
      <alignment horizontal="center" vertical="center" wrapText="1"/>
    </xf>
    <xf numFmtId="167" fontId="20" fillId="2" borderId="1" xfId="0" applyNumberFormat="1" applyFont="1" applyFill="1" applyBorder="1" applyAlignment="1">
      <alignment horizontal="center" vertical="center" wrapText="1"/>
    </xf>
    <xf numFmtId="166" fontId="29" fillId="2" borderId="1" xfId="0" applyNumberFormat="1" applyFont="1" applyFill="1" applyBorder="1" applyAlignment="1">
      <alignment horizontal="center" vertical="center" wrapText="1"/>
    </xf>
    <xf numFmtId="0" fontId="26" fillId="2" borderId="1" xfId="0" applyFont="1" applyFill="1" applyBorder="1" applyAlignment="1">
      <alignment horizontal="center"/>
    </xf>
    <xf numFmtId="167" fontId="18" fillId="0" borderId="1" xfId="0" applyNumberFormat="1" applyFont="1" applyBorder="1" applyAlignment="1">
      <alignment horizontal="center" vertical="center" wrapText="1"/>
    </xf>
    <xf numFmtId="0" fontId="29" fillId="2" borderId="1" xfId="0" applyFont="1" applyFill="1" applyBorder="1" applyAlignment="1">
      <alignment horizontal="center" vertical="center" wrapText="1"/>
    </xf>
    <xf numFmtId="0" fontId="44" fillId="2" borderId="1" xfId="0" applyFont="1" applyFill="1" applyBorder="1" applyAlignment="1">
      <alignment horizontal="center" vertical="center" wrapText="1"/>
    </xf>
    <xf numFmtId="3" fontId="26" fillId="2" borderId="1" xfId="0" applyNumberFormat="1" applyFont="1" applyFill="1" applyBorder="1" applyAlignment="1">
      <alignment horizontal="center" vertical="center"/>
    </xf>
    <xf numFmtId="0" fontId="26" fillId="2" borderId="1" xfId="8" applyFont="1" applyFill="1" applyBorder="1" applyAlignment="1">
      <alignment horizontal="center" vertical="center" wrapText="1"/>
    </xf>
    <xf numFmtId="0" fontId="30" fillId="0" borderId="1" xfId="25" applyFont="1" applyBorder="1" applyAlignment="1">
      <alignment horizontal="center" vertical="center" wrapText="1"/>
    </xf>
    <xf numFmtId="0" fontId="30" fillId="0" borderId="1" xfId="25" applyFont="1" applyBorder="1" applyAlignment="1">
      <alignment horizontal="center" vertical="top" wrapText="1"/>
    </xf>
    <xf numFmtId="0" fontId="30" fillId="2" borderId="1" xfId="25" applyFont="1" applyFill="1" applyBorder="1" applyAlignment="1">
      <alignment horizontal="center" vertical="top" wrapText="1"/>
    </xf>
    <xf numFmtId="0" fontId="19" fillId="0" borderId="1" xfId="25" applyFont="1" applyBorder="1" applyAlignment="1">
      <alignment horizontal="center" vertical="top" wrapText="1"/>
    </xf>
    <xf numFmtId="0" fontId="26" fillId="2" borderId="1" xfId="8" applyFont="1" applyFill="1" applyBorder="1" applyAlignment="1">
      <alignment horizontal="center" vertical="top" wrapText="1"/>
    </xf>
    <xf numFmtId="0" fontId="26" fillId="2" borderId="1" xfId="8" applyFont="1" applyFill="1" applyBorder="1" applyAlignment="1">
      <alignment horizontal="center" wrapText="1"/>
    </xf>
    <xf numFmtId="166" fontId="26" fillId="0" borderId="1" xfId="0" applyNumberFormat="1" applyFont="1" applyBorder="1" applyAlignment="1">
      <alignment horizontal="center" vertical="center" wrapText="1"/>
    </xf>
    <xf numFmtId="167" fontId="29" fillId="0" borderId="1" xfId="0" applyNumberFormat="1" applyFont="1" applyBorder="1" applyAlignment="1">
      <alignment horizontal="center" vertical="center" wrapText="1"/>
    </xf>
    <xf numFmtId="164" fontId="15" fillId="0" borderId="1" xfId="0" applyNumberFormat="1" applyFont="1" applyBorder="1" applyAlignment="1">
      <alignment horizontal="center" vertical="center"/>
    </xf>
    <xf numFmtId="164" fontId="15" fillId="0" borderId="1" xfId="0" applyNumberFormat="1" applyFont="1" applyBorder="1" applyAlignment="1">
      <alignment vertical="center"/>
    </xf>
    <xf numFmtId="164" fontId="26" fillId="0" borderId="1" xfId="0" applyNumberFormat="1" applyFont="1" applyBorder="1" applyAlignment="1">
      <alignment horizontal="center" vertical="center"/>
    </xf>
    <xf numFmtId="0" fontId="30" fillId="2" borderId="1" xfId="0" applyFont="1" applyFill="1" applyBorder="1" applyAlignment="1">
      <alignment horizontal="left" vertical="center" wrapText="1"/>
    </xf>
    <xf numFmtId="0" fontId="26" fillId="23" borderId="1" xfId="0" applyFont="1" applyFill="1" applyBorder="1" applyAlignment="1">
      <alignment horizontal="center" vertical="center" wrapText="1"/>
    </xf>
    <xf numFmtId="167" fontId="26" fillId="23" borderId="1" xfId="0" applyNumberFormat="1" applyFont="1" applyFill="1" applyBorder="1" applyAlignment="1">
      <alignment horizontal="center" vertical="center" wrapText="1"/>
    </xf>
    <xf numFmtId="0" fontId="26" fillId="23" borderId="1" xfId="0" applyFont="1" applyFill="1" applyBorder="1" applyAlignment="1">
      <alignment horizontal="center" vertical="center"/>
    </xf>
    <xf numFmtId="164" fontId="19" fillId="0" borderId="1" xfId="0" applyNumberFormat="1" applyFont="1" applyBorder="1" applyAlignment="1">
      <alignment horizontal="center" vertical="center" wrapText="1"/>
    </xf>
    <xf numFmtId="0" fontId="26" fillId="23" borderId="1" xfId="8" applyFont="1" applyFill="1" applyBorder="1" applyAlignment="1">
      <alignment horizontal="center" vertical="center" wrapText="1"/>
    </xf>
    <xf numFmtId="0" fontId="30" fillId="23" borderId="1" xfId="25" applyFont="1" applyFill="1" applyBorder="1" applyAlignment="1">
      <alignment horizontal="center" vertical="top" wrapText="1"/>
    </xf>
    <xf numFmtId="0" fontId="30" fillId="23" borderId="1" xfId="25" applyFont="1" applyFill="1" applyBorder="1" applyAlignment="1">
      <alignment horizontal="center" vertical="center" wrapText="1"/>
    </xf>
    <xf numFmtId="0" fontId="30" fillId="23" borderId="1" xfId="0" applyFont="1" applyFill="1" applyBorder="1" applyAlignment="1">
      <alignment horizontal="center" vertical="center" wrapText="1"/>
    </xf>
    <xf numFmtId="0" fontId="22" fillId="9" borderId="1" xfId="0" applyFont="1" applyFill="1" applyBorder="1" applyAlignment="1">
      <alignment horizontal="center" vertical="center"/>
    </xf>
    <xf numFmtId="0" fontId="42" fillId="9" borderId="1" xfId="0" applyFont="1" applyFill="1" applyBorder="1" applyAlignment="1">
      <alignment horizontal="center" vertical="center" wrapText="1"/>
    </xf>
    <xf numFmtId="0" fontId="28" fillId="9" borderId="1" xfId="0" applyFont="1" applyFill="1" applyBorder="1" applyAlignment="1">
      <alignment horizontal="center" vertical="center" wrapText="1"/>
    </xf>
    <xf numFmtId="166" fontId="42" fillId="9" borderId="1" xfId="0" applyNumberFormat="1" applyFont="1" applyFill="1" applyBorder="1" applyAlignment="1">
      <alignment horizontal="center" vertical="center" wrapText="1"/>
    </xf>
    <xf numFmtId="3" fontId="54" fillId="25" borderId="1" xfId="0" applyNumberFormat="1" applyFont="1" applyFill="1" applyBorder="1" applyAlignment="1">
      <alignment horizontal="center" vertical="center" wrapText="1"/>
    </xf>
    <xf numFmtId="170" fontId="5" fillId="25" borderId="1" xfId="0" applyNumberFormat="1" applyFont="1" applyFill="1" applyBorder="1" applyAlignment="1">
      <alignment horizontal="center" vertical="center" wrapText="1"/>
    </xf>
    <xf numFmtId="167" fontId="68" fillId="2" borderId="2" xfId="0" applyNumberFormat="1" applyFont="1" applyFill="1" applyBorder="1" applyAlignment="1">
      <alignment horizontal="center" vertical="center" wrapText="1"/>
    </xf>
    <xf numFmtId="167" fontId="68" fillId="2" borderId="5" xfId="0" applyNumberFormat="1" applyFont="1" applyFill="1" applyBorder="1" applyAlignment="1">
      <alignment horizontal="center" vertical="center" wrapText="1"/>
    </xf>
    <xf numFmtId="167" fontId="68"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167" fontId="0" fillId="0" borderId="0" xfId="0" applyNumberFormat="1"/>
    <xf numFmtId="0" fontId="69" fillId="0" borderId="0" xfId="0" applyFont="1"/>
    <xf numFmtId="0" fontId="70" fillId="2" borderId="1" xfId="0" applyFont="1" applyFill="1" applyBorder="1" applyAlignment="1">
      <alignment horizontal="center" vertical="center" wrapText="1"/>
    </xf>
    <xf numFmtId="0" fontId="70" fillId="2" borderId="4" xfId="0" applyFont="1" applyFill="1" applyBorder="1" applyAlignment="1">
      <alignment horizontal="center" vertical="center" wrapText="1"/>
    </xf>
    <xf numFmtId="0" fontId="71" fillId="2" borderId="1" xfId="0" applyFont="1" applyFill="1" applyBorder="1" applyAlignment="1">
      <alignment horizontal="center" vertical="center" wrapText="1"/>
    </xf>
    <xf numFmtId="0" fontId="52" fillId="2" borderId="1" xfId="0" applyFont="1" applyFill="1" applyBorder="1" applyAlignment="1">
      <alignment horizontal="center" vertical="center" wrapText="1"/>
    </xf>
    <xf numFmtId="176" fontId="21" fillId="0" borderId="1" xfId="0" applyNumberFormat="1" applyFont="1" applyBorder="1" applyAlignment="1">
      <alignment horizontal="center" vertical="center"/>
    </xf>
    <xf numFmtId="0" fontId="58" fillId="2" borderId="1" xfId="0" applyFont="1" applyFill="1" applyBorder="1" applyAlignment="1">
      <alignment horizontal="center" vertical="center" wrapText="1"/>
    </xf>
    <xf numFmtId="176" fontId="57" fillId="0" borderId="1" xfId="0" applyNumberFormat="1" applyFont="1" applyBorder="1" applyAlignment="1">
      <alignment horizontal="center" vertical="center"/>
    </xf>
    <xf numFmtId="176" fontId="69" fillId="0" borderId="0" xfId="0" applyNumberFormat="1" applyFont="1"/>
    <xf numFmtId="176" fontId="21" fillId="23" borderId="1" xfId="0" applyNumberFormat="1" applyFont="1" applyFill="1" applyBorder="1"/>
    <xf numFmtId="0" fontId="52" fillId="2" borderId="7" xfId="0" applyFont="1" applyFill="1" applyBorder="1" applyAlignment="1">
      <alignment horizontal="center" vertical="center" wrapText="1"/>
    </xf>
    <xf numFmtId="0" fontId="52" fillId="2" borderId="1" xfId="0" applyFont="1" applyFill="1" applyBorder="1" applyAlignment="1">
      <alignment vertical="center" wrapText="1"/>
    </xf>
    <xf numFmtId="176" fontId="21" fillId="25" borderId="1" xfId="0" applyNumberFormat="1" applyFont="1" applyFill="1" applyBorder="1" applyAlignment="1">
      <alignment horizontal="center" vertical="center"/>
    </xf>
    <xf numFmtId="0" fontId="5" fillId="26" borderId="1" xfId="0" applyFont="1" applyFill="1" applyBorder="1" applyAlignment="1">
      <alignment vertical="center" wrapText="1"/>
    </xf>
    <xf numFmtId="0" fontId="5" fillId="0" borderId="1" xfId="0" applyFont="1" applyBorder="1" applyAlignment="1">
      <alignment vertical="center" wrapText="1"/>
    </xf>
    <xf numFmtId="43" fontId="7" fillId="26" borderId="1" xfId="21" applyFont="1" applyFill="1" applyBorder="1" applyAlignment="1">
      <alignment vertical="center" wrapText="1"/>
    </xf>
    <xf numFmtId="4" fontId="7" fillId="0" borderId="1" xfId="16" applyNumberFormat="1" applyFont="1" applyBorder="1" applyAlignment="1">
      <alignment vertical="center" wrapText="1"/>
    </xf>
    <xf numFmtId="4" fontId="7" fillId="26" borderId="1" xfId="16" applyNumberFormat="1" applyFont="1" applyFill="1" applyBorder="1" applyAlignment="1">
      <alignment vertical="center" wrapText="1"/>
    </xf>
    <xf numFmtId="43" fontId="7" fillId="0" borderId="1" xfId="21" applyFont="1" applyBorder="1" applyAlignment="1">
      <alignment vertical="center" wrapText="1"/>
    </xf>
    <xf numFmtId="4" fontId="5" fillId="0" borderId="1" xfId="16" applyNumberFormat="1" applyFont="1" applyBorder="1" applyAlignment="1">
      <alignment vertical="center" wrapText="1"/>
    </xf>
    <xf numFmtId="4" fontId="7" fillId="26" borderId="1" xfId="21" applyNumberFormat="1" applyFont="1" applyFill="1" applyBorder="1" applyAlignment="1">
      <alignment vertical="center" wrapText="1"/>
    </xf>
    <xf numFmtId="43" fontId="7" fillId="26" borderId="1" xfId="21" applyFont="1" applyFill="1" applyBorder="1" applyAlignment="1">
      <alignment vertical="center"/>
    </xf>
    <xf numFmtId="43" fontId="7" fillId="0" borderId="1" xfId="21" applyFont="1" applyBorder="1" applyAlignment="1">
      <alignment vertical="center"/>
    </xf>
    <xf numFmtId="3" fontId="5" fillId="0" borderId="1" xfId="0" applyNumberFormat="1" applyFont="1" applyBorder="1" applyAlignment="1">
      <alignment vertical="center" wrapText="1"/>
    </xf>
    <xf numFmtId="3" fontId="5" fillId="26" borderId="1" xfId="0" applyNumberFormat="1" applyFont="1" applyFill="1" applyBorder="1" applyAlignment="1">
      <alignment vertical="center" wrapText="1"/>
    </xf>
    <xf numFmtId="0" fontId="72" fillId="26" borderId="1" xfId="0" applyFont="1" applyFill="1" applyBorder="1" applyAlignment="1">
      <alignment vertical="center" wrapText="1"/>
    </xf>
    <xf numFmtId="0" fontId="72" fillId="0" borderId="1" xfId="0" applyFont="1" applyBorder="1" applyAlignment="1">
      <alignment vertical="center" wrapText="1"/>
    </xf>
    <xf numFmtId="0" fontId="15" fillId="26" borderId="1" xfId="0" applyFont="1" applyFill="1" applyBorder="1" applyAlignment="1">
      <alignment vertical="center" wrapText="1"/>
    </xf>
    <xf numFmtId="177" fontId="5" fillId="26" borderId="1" xfId="21" applyNumberFormat="1" applyFont="1" applyFill="1" applyBorder="1" applyAlignment="1">
      <alignment vertical="center" wrapText="1"/>
    </xf>
    <xf numFmtId="0" fontId="15" fillId="0" borderId="1" xfId="0" applyFont="1" applyBorder="1" applyAlignment="1">
      <alignment vertical="center" wrapText="1"/>
    </xf>
    <xf numFmtId="177" fontId="5" fillId="0" borderId="1" xfId="21" applyNumberFormat="1" applyFont="1" applyBorder="1" applyAlignment="1">
      <alignment vertical="center" wrapText="1"/>
    </xf>
    <xf numFmtId="178" fontId="5" fillId="26" borderId="1" xfId="21" applyNumberFormat="1" applyFont="1" applyFill="1" applyBorder="1" applyAlignment="1">
      <alignment vertical="center" wrapText="1"/>
    </xf>
    <xf numFmtId="178" fontId="5" fillId="0" borderId="1" xfId="21" applyNumberFormat="1" applyFont="1" applyBorder="1" applyAlignment="1">
      <alignment vertical="center" wrapText="1"/>
    </xf>
    <xf numFmtId="0" fontId="7" fillId="0" borderId="1" xfId="0" applyFont="1" applyBorder="1" applyAlignment="1">
      <alignment vertical="center" wrapText="1"/>
    </xf>
    <xf numFmtId="0" fontId="7" fillId="0" borderId="1" xfId="1" applyFont="1" applyBorder="1" applyAlignment="1">
      <alignment vertical="center" wrapText="1"/>
    </xf>
    <xf numFmtId="0" fontId="7" fillId="26" borderId="1" xfId="16" applyFont="1" applyFill="1" applyBorder="1" applyAlignment="1">
      <alignment vertical="center" wrapText="1"/>
    </xf>
    <xf numFmtId="3" fontId="7" fillId="26" borderId="1" xfId="16" applyNumberFormat="1" applyFont="1" applyFill="1" applyBorder="1" applyAlignment="1">
      <alignment vertical="center" wrapText="1"/>
    </xf>
    <xf numFmtId="0" fontId="7" fillId="0" borderId="1" xfId="16" applyFont="1" applyBorder="1" applyAlignment="1">
      <alignment vertical="center" wrapText="1"/>
    </xf>
    <xf numFmtId="3" fontId="7" fillId="0" borderId="1" xfId="16" applyNumberFormat="1" applyFont="1" applyBorder="1" applyAlignment="1">
      <alignment vertical="center" wrapText="1"/>
    </xf>
    <xf numFmtId="0" fontId="7" fillId="26" borderId="1" xfId="0" applyFont="1" applyFill="1" applyBorder="1" applyAlignment="1">
      <alignment vertical="center" wrapText="1"/>
    </xf>
    <xf numFmtId="4" fontId="7" fillId="26" borderId="1" xfId="0" applyNumberFormat="1" applyFont="1" applyFill="1" applyBorder="1" applyAlignment="1">
      <alignment vertical="center" wrapText="1"/>
    </xf>
    <xf numFmtId="4" fontId="7" fillId="0" borderId="1" xfId="0" applyNumberFormat="1" applyFont="1" applyBorder="1" applyAlignment="1">
      <alignment vertical="center" wrapText="1"/>
    </xf>
    <xf numFmtId="0" fontId="5" fillId="26" borderId="1" xfId="5" applyFont="1" applyFill="1" applyBorder="1" applyAlignment="1">
      <alignment vertical="center" wrapText="1"/>
    </xf>
    <xf numFmtId="3" fontId="7" fillId="26" borderId="1" xfId="0" applyNumberFormat="1" applyFont="1" applyFill="1" applyBorder="1" applyAlignment="1">
      <alignment vertical="center" wrapText="1"/>
    </xf>
    <xf numFmtId="3" fontId="7" fillId="0" borderId="1" xfId="0" applyNumberFormat="1" applyFont="1" applyBorder="1" applyAlignment="1">
      <alignment vertical="center" wrapText="1"/>
    </xf>
    <xf numFmtId="43" fontId="5" fillId="0" borderId="1" xfId="21" applyFont="1" applyBorder="1" applyAlignment="1">
      <alignment vertical="center" wrapText="1"/>
    </xf>
    <xf numFmtId="43" fontId="5" fillId="26" borderId="1" xfId="21" applyFont="1" applyFill="1" applyBorder="1" applyAlignment="1">
      <alignment vertical="center" wrapText="1"/>
    </xf>
    <xf numFmtId="0" fontId="5" fillId="0" borderId="1" xfId="5" applyFont="1" applyBorder="1" applyAlignment="1">
      <alignment vertical="center" wrapText="1"/>
    </xf>
    <xf numFmtId="179" fontId="5" fillId="0" borderId="1" xfId="13" applyNumberFormat="1" applyFont="1" applyBorder="1" applyAlignment="1">
      <alignment vertical="center" wrapText="1"/>
    </xf>
    <xf numFmtId="179" fontId="5" fillId="26" borderId="1" xfId="13" applyNumberFormat="1" applyFont="1" applyFill="1" applyBorder="1" applyAlignment="1">
      <alignment vertical="center" wrapText="1"/>
    </xf>
    <xf numFmtId="180" fontId="5" fillId="0" borderId="1" xfId="13" applyNumberFormat="1" applyFont="1" applyBorder="1" applyAlignment="1">
      <alignment vertical="center" wrapText="1"/>
    </xf>
    <xf numFmtId="180" fontId="5" fillId="26" borderId="1" xfId="13" applyNumberFormat="1" applyFont="1" applyFill="1" applyBorder="1" applyAlignment="1">
      <alignment vertical="center" wrapText="1"/>
    </xf>
    <xf numFmtId="168" fontId="5" fillId="26" borderId="1" xfId="0" applyNumberFormat="1" applyFont="1" applyFill="1" applyBorder="1" applyAlignment="1">
      <alignment vertical="center" wrapText="1"/>
    </xf>
    <xf numFmtId="168" fontId="5" fillId="0" borderId="1" xfId="0" applyNumberFormat="1" applyFont="1" applyBorder="1" applyAlignment="1">
      <alignment vertical="center" wrapText="1"/>
    </xf>
    <xf numFmtId="174" fontId="7" fillId="0" borderId="1" xfId="16" applyNumberFormat="1" applyFont="1" applyBorder="1" applyAlignment="1">
      <alignment vertical="center" wrapText="1"/>
    </xf>
    <xf numFmtId="174" fontId="7" fillId="26" borderId="1" xfId="16" applyNumberFormat="1" applyFont="1" applyFill="1" applyBorder="1" applyAlignment="1">
      <alignment vertical="center" wrapText="1"/>
    </xf>
    <xf numFmtId="1" fontId="7" fillId="26" borderId="1" xfId="16" applyNumberFormat="1" applyFont="1" applyFill="1" applyBorder="1" applyAlignment="1">
      <alignment vertical="center" wrapText="1"/>
    </xf>
    <xf numFmtId="168" fontId="7" fillId="26" borderId="1" xfId="16" applyNumberFormat="1" applyFont="1" applyFill="1" applyBorder="1" applyAlignment="1">
      <alignment vertical="center" wrapText="1"/>
    </xf>
    <xf numFmtId="1" fontId="7" fillId="0" borderId="1" xfId="16" applyNumberFormat="1" applyFont="1" applyBorder="1" applyAlignment="1">
      <alignment vertical="center" wrapText="1"/>
    </xf>
    <xf numFmtId="168" fontId="7" fillId="0" borderId="1" xfId="16" applyNumberFormat="1" applyFont="1" applyBorder="1" applyAlignment="1">
      <alignment vertical="center" wrapText="1"/>
    </xf>
    <xf numFmtId="0" fontId="5" fillId="26" borderId="1" xfId="16" applyFont="1" applyFill="1" applyBorder="1" applyAlignment="1">
      <alignment vertical="center" wrapText="1"/>
    </xf>
    <xf numFmtId="1" fontId="5" fillId="26" borderId="1" xfId="16" applyNumberFormat="1" applyFont="1" applyFill="1" applyBorder="1" applyAlignment="1">
      <alignment vertical="center" wrapText="1"/>
    </xf>
    <xf numFmtId="168" fontId="5" fillId="26" borderId="1" xfId="16" applyNumberFormat="1" applyFont="1" applyFill="1" applyBorder="1" applyAlignment="1">
      <alignment vertical="center" wrapText="1"/>
    </xf>
    <xf numFmtId="1" fontId="7" fillId="26" borderId="1" xfId="17" applyNumberFormat="1" applyFont="1" applyFill="1" applyBorder="1" applyAlignment="1">
      <alignment vertical="center" wrapText="1"/>
    </xf>
    <xf numFmtId="168" fontId="7" fillId="26" borderId="1" xfId="17" applyNumberFormat="1" applyFont="1" applyFill="1" applyBorder="1" applyAlignment="1">
      <alignment vertical="center" wrapText="1"/>
    </xf>
    <xf numFmtId="174" fontId="7" fillId="26" borderId="1" xfId="0" applyNumberFormat="1" applyFont="1" applyFill="1" applyBorder="1" applyAlignment="1">
      <alignment vertical="center" wrapText="1"/>
    </xf>
    <xf numFmtId="1" fontId="7" fillId="0" borderId="1" xfId="0" applyNumberFormat="1" applyFont="1" applyBorder="1" applyAlignment="1">
      <alignment vertical="center" wrapText="1"/>
    </xf>
    <xf numFmtId="1" fontId="7" fillId="26" borderId="1" xfId="0" applyNumberFormat="1" applyFont="1" applyFill="1" applyBorder="1" applyAlignment="1">
      <alignment vertical="center" wrapText="1"/>
    </xf>
    <xf numFmtId="0" fontId="7" fillId="0" borderId="1" xfId="0" applyFont="1" applyBorder="1" applyAlignment="1">
      <alignment vertical="center"/>
    </xf>
    <xf numFmtId="0" fontId="7" fillId="26" borderId="1" xfId="0" applyFont="1" applyFill="1" applyBorder="1" applyAlignment="1">
      <alignment vertical="center"/>
    </xf>
    <xf numFmtId="3" fontId="15" fillId="26" borderId="1" xfId="0" applyNumberFormat="1" applyFont="1" applyFill="1" applyBorder="1" applyAlignment="1">
      <alignment vertical="center" wrapText="1"/>
    </xf>
    <xf numFmtId="0" fontId="7" fillId="26" borderId="1" xfId="1" applyFont="1" applyFill="1" applyBorder="1" applyAlignment="1">
      <alignment vertical="center" wrapText="1"/>
    </xf>
    <xf numFmtId="174" fontId="7" fillId="0" borderId="1" xfId="0" applyNumberFormat="1" applyFont="1" applyBorder="1" applyAlignment="1">
      <alignment vertical="center"/>
    </xf>
    <xf numFmtId="0" fontId="5" fillId="0" borderId="1" xfId="16" applyFont="1" applyBorder="1" applyAlignment="1">
      <alignment vertical="center" wrapText="1"/>
    </xf>
    <xf numFmtId="174" fontId="5" fillId="0" borderId="1" xfId="16" applyNumberFormat="1" applyFont="1" applyBorder="1" applyAlignment="1">
      <alignment vertical="center" wrapText="1"/>
    </xf>
    <xf numFmtId="181" fontId="7" fillId="0" borderId="1" xfId="21" applyNumberFormat="1" applyFont="1" applyBorder="1" applyAlignment="1">
      <alignment vertical="center" wrapText="1"/>
    </xf>
    <xf numFmtId="181" fontId="7" fillId="26" borderId="1" xfId="21" applyNumberFormat="1" applyFont="1" applyFill="1" applyBorder="1" applyAlignment="1">
      <alignment vertical="center" wrapText="1"/>
    </xf>
    <xf numFmtId="3" fontId="15" fillId="0" borderId="1" xfId="0" applyNumberFormat="1" applyFont="1" applyBorder="1" applyAlignment="1">
      <alignment vertical="center" wrapText="1"/>
    </xf>
    <xf numFmtId="0" fontId="7" fillId="26" borderId="1" xfId="21" applyNumberFormat="1" applyFont="1" applyFill="1" applyBorder="1" applyAlignment="1">
      <alignment vertical="center" wrapText="1"/>
    </xf>
    <xf numFmtId="174" fontId="5" fillId="26" borderId="1" xfId="0" applyNumberFormat="1" applyFont="1" applyFill="1" applyBorder="1" applyAlignment="1">
      <alignment vertical="center" wrapText="1"/>
    </xf>
    <xf numFmtId="1" fontId="5" fillId="26" borderId="1" xfId="17" applyNumberFormat="1" applyFont="1" applyFill="1" applyBorder="1" applyAlignment="1">
      <alignment vertical="center" wrapText="1"/>
    </xf>
    <xf numFmtId="1" fontId="5" fillId="26" borderId="1" xfId="0" applyNumberFormat="1" applyFont="1" applyFill="1" applyBorder="1" applyAlignment="1">
      <alignment vertical="center" wrapText="1"/>
    </xf>
    <xf numFmtId="1" fontId="7" fillId="0" borderId="1" xfId="17" applyNumberFormat="1" applyFont="1" applyBorder="1" applyAlignment="1">
      <alignment vertical="center" wrapText="1"/>
    </xf>
    <xf numFmtId="182" fontId="5" fillId="26" borderId="1" xfId="16" applyNumberFormat="1" applyFont="1" applyFill="1" applyBorder="1" applyAlignment="1">
      <alignment vertical="center" wrapText="1"/>
    </xf>
    <xf numFmtId="1" fontId="5" fillId="0" borderId="1" xfId="17" applyNumberFormat="1" applyFont="1" applyBorder="1" applyAlignment="1">
      <alignment vertical="center" wrapText="1"/>
    </xf>
    <xf numFmtId="182" fontId="5" fillId="0" borderId="1" xfId="16" applyNumberFormat="1" applyFont="1" applyBorder="1" applyAlignment="1">
      <alignment vertical="center" wrapText="1"/>
    </xf>
    <xf numFmtId="182" fontId="7" fillId="26" borderId="1" xfId="16" applyNumberFormat="1" applyFont="1" applyFill="1" applyBorder="1" applyAlignment="1">
      <alignment vertical="center" wrapText="1"/>
    </xf>
    <xf numFmtId="174" fontId="5" fillId="0" borderId="1" xfId="0" applyNumberFormat="1" applyFont="1" applyBorder="1" applyAlignment="1">
      <alignment vertical="center" wrapText="1"/>
    </xf>
    <xf numFmtId="174" fontId="7" fillId="0" borderId="1" xfId="0" applyNumberFormat="1" applyFont="1" applyBorder="1" applyAlignment="1">
      <alignment vertical="center" wrapText="1"/>
    </xf>
    <xf numFmtId="0" fontId="5" fillId="0" borderId="1" xfId="0" applyFont="1" applyBorder="1" applyAlignment="1">
      <alignment vertical="center"/>
    </xf>
    <xf numFmtId="4" fontId="7" fillId="0" borderId="1" xfId="0" applyNumberFormat="1" applyFont="1" applyBorder="1" applyAlignment="1">
      <alignment vertical="center"/>
    </xf>
    <xf numFmtId="4" fontId="7" fillId="26" borderId="1" xfId="0" applyNumberFormat="1" applyFont="1" applyFill="1" applyBorder="1" applyAlignment="1">
      <alignment vertical="center"/>
    </xf>
    <xf numFmtId="180" fontId="7" fillId="26" borderId="1" xfId="21" applyNumberFormat="1" applyFont="1" applyFill="1" applyBorder="1" applyAlignment="1">
      <alignment vertical="center" wrapText="1"/>
    </xf>
    <xf numFmtId="2" fontId="7" fillId="0" borderId="1" xfId="0" applyNumberFormat="1" applyFont="1" applyBorder="1" applyAlignment="1">
      <alignment vertical="center" wrapText="1"/>
    </xf>
    <xf numFmtId="2" fontId="7" fillId="26" borderId="1" xfId="0" applyNumberFormat="1" applyFont="1" applyFill="1" applyBorder="1" applyAlignment="1">
      <alignment vertical="center" wrapText="1"/>
    </xf>
    <xf numFmtId="0" fontId="7" fillId="26" borderId="1" xfId="5" applyFont="1" applyFill="1" applyBorder="1" applyAlignment="1">
      <alignment vertical="center" wrapText="1"/>
    </xf>
    <xf numFmtId="3" fontId="5" fillId="26" borderId="1" xfId="5" applyNumberFormat="1" applyFont="1" applyFill="1" applyBorder="1" applyAlignment="1">
      <alignment vertical="center" wrapText="1"/>
    </xf>
    <xf numFmtId="0" fontId="7" fillId="0" borderId="1" xfId="5" applyFont="1" applyBorder="1" applyAlignment="1">
      <alignment vertical="center" wrapText="1"/>
    </xf>
    <xf numFmtId="3" fontId="5" fillId="0" borderId="1" xfId="5" applyNumberFormat="1" applyFont="1" applyBorder="1" applyAlignment="1">
      <alignment vertical="center" wrapText="1"/>
    </xf>
    <xf numFmtId="178" fontId="7" fillId="0" borderId="1" xfId="21" applyNumberFormat="1" applyFont="1" applyBorder="1" applyAlignment="1">
      <alignment vertical="center" wrapText="1"/>
    </xf>
    <xf numFmtId="174" fontId="5" fillId="26" borderId="1" xfId="16" applyNumberFormat="1" applyFont="1" applyFill="1" applyBorder="1" applyAlignment="1">
      <alignment vertical="center" wrapText="1"/>
    </xf>
    <xf numFmtId="4" fontId="15" fillId="26" borderId="1" xfId="0" applyNumberFormat="1" applyFont="1" applyFill="1" applyBorder="1" applyAlignment="1">
      <alignment vertical="center" wrapText="1"/>
    </xf>
    <xf numFmtId="168" fontId="7" fillId="0" borderId="1" xfId="0" applyNumberFormat="1" applyFont="1" applyBorder="1" applyAlignment="1">
      <alignment vertical="center" wrapText="1"/>
    </xf>
    <xf numFmtId="0" fontId="30" fillId="26" borderId="1" xfId="16" applyFont="1" applyFill="1" applyBorder="1" applyAlignment="1">
      <alignment vertical="center" wrapText="1"/>
    </xf>
    <xf numFmtId="0" fontId="7" fillId="0" borderId="1" xfId="21" applyNumberFormat="1" applyFont="1" applyBorder="1" applyAlignment="1">
      <alignment vertical="center" wrapText="1"/>
    </xf>
    <xf numFmtId="183" fontId="5" fillId="0" borderId="1" xfId="21" applyNumberFormat="1" applyFont="1" applyBorder="1" applyAlignment="1">
      <alignment vertical="center" wrapText="1"/>
    </xf>
    <xf numFmtId="183" fontId="5" fillId="26" borderId="1" xfId="21" applyNumberFormat="1" applyFont="1" applyFill="1" applyBorder="1" applyAlignment="1">
      <alignment vertical="center" wrapText="1"/>
    </xf>
    <xf numFmtId="4" fontId="7" fillId="26" borderId="1" xfId="17" applyNumberFormat="1" applyFont="1" applyFill="1" applyBorder="1" applyAlignment="1">
      <alignment vertical="center" wrapText="1"/>
    </xf>
    <xf numFmtId="4" fontId="5" fillId="0" borderId="1" xfId="0" applyNumberFormat="1" applyFont="1" applyBorder="1" applyAlignment="1">
      <alignment vertical="center" wrapText="1"/>
    </xf>
    <xf numFmtId="4" fontId="7" fillId="0" borderId="1" xfId="17" applyNumberFormat="1" applyFont="1" applyBorder="1" applyAlignment="1">
      <alignment vertical="center" wrapText="1"/>
    </xf>
    <xf numFmtId="0" fontId="7" fillId="0" borderId="1" xfId="12" applyFont="1" applyBorder="1" applyAlignment="1">
      <alignment vertical="center" wrapText="1"/>
    </xf>
    <xf numFmtId="0" fontId="7" fillId="26" borderId="1" xfId="12" applyFont="1" applyFill="1" applyBorder="1" applyAlignment="1">
      <alignment vertical="center" wrapText="1"/>
    </xf>
    <xf numFmtId="49" fontId="7" fillId="26" borderId="1" xfId="0" applyNumberFormat="1" applyFont="1" applyFill="1" applyBorder="1" applyAlignment="1">
      <alignment vertical="center" wrapText="1"/>
    </xf>
    <xf numFmtId="179" fontId="7" fillId="26" borderId="1" xfId="21" applyNumberFormat="1" applyFont="1" applyFill="1" applyBorder="1" applyAlignment="1">
      <alignment vertical="center" wrapText="1"/>
    </xf>
    <xf numFmtId="0" fontId="7" fillId="0" borderId="1" xfId="88" applyFont="1" applyBorder="1" applyAlignment="1">
      <alignment vertical="center" wrapText="1"/>
    </xf>
    <xf numFmtId="0" fontId="7" fillId="26" borderId="1" xfId="4" applyFont="1" applyFill="1" applyBorder="1" applyAlignment="1">
      <alignment vertical="center" wrapText="1"/>
    </xf>
    <xf numFmtId="168" fontId="7" fillId="26" borderId="1" xfId="0" applyNumberFormat="1" applyFont="1" applyFill="1" applyBorder="1" applyAlignment="1">
      <alignment vertical="center" wrapText="1"/>
    </xf>
    <xf numFmtId="0" fontId="5" fillId="26" borderId="1" xfId="7" applyFont="1" applyFill="1" applyBorder="1" applyAlignment="1">
      <alignment vertical="center" wrapText="1"/>
    </xf>
    <xf numFmtId="181" fontId="5" fillId="26" borderId="1" xfId="13" applyNumberFormat="1" applyFont="1" applyFill="1" applyBorder="1" applyAlignment="1">
      <alignment vertical="center" wrapText="1"/>
    </xf>
    <xf numFmtId="0" fontId="5" fillId="0" borderId="1" xfId="7" applyFont="1" applyBorder="1" applyAlignment="1">
      <alignment vertical="center" wrapText="1"/>
    </xf>
    <xf numFmtId="181" fontId="5" fillId="0" borderId="1" xfId="13" applyNumberFormat="1" applyFont="1" applyBorder="1" applyAlignment="1">
      <alignment vertical="center" wrapText="1"/>
    </xf>
    <xf numFmtId="0" fontId="5" fillId="0" borderId="1" xfId="89" applyFont="1" applyBorder="1" applyAlignment="1">
      <alignment vertical="center" wrapText="1"/>
    </xf>
    <xf numFmtId="0" fontId="5" fillId="26" borderId="1" xfId="89" applyFont="1" applyFill="1" applyBorder="1" applyAlignment="1">
      <alignment vertical="center" wrapText="1"/>
    </xf>
    <xf numFmtId="3" fontId="7" fillId="26" borderId="1" xfId="17" applyNumberFormat="1" applyFont="1" applyFill="1" applyBorder="1" applyAlignment="1">
      <alignment vertical="center" wrapText="1"/>
    </xf>
    <xf numFmtId="49" fontId="7" fillId="0" borderId="1" xfId="21" applyNumberFormat="1" applyFont="1" applyBorder="1" applyAlignment="1">
      <alignment vertical="center" wrapText="1"/>
    </xf>
    <xf numFmtId="49" fontId="7" fillId="26" borderId="1" xfId="21" applyNumberFormat="1" applyFont="1" applyFill="1" applyBorder="1" applyAlignment="1">
      <alignment vertical="center" wrapText="1"/>
    </xf>
    <xf numFmtId="0" fontId="17" fillId="0" borderId="1" xfId="0" applyFont="1" applyBorder="1" applyAlignment="1">
      <alignment vertical="center" wrapText="1"/>
    </xf>
    <xf numFmtId="0" fontId="17" fillId="26" borderId="1" xfId="0" applyFont="1" applyFill="1" applyBorder="1" applyAlignment="1">
      <alignment vertical="center" wrapText="1"/>
    </xf>
    <xf numFmtId="0" fontId="74" fillId="0" borderId="1" xfId="0" applyFont="1" applyBorder="1" applyAlignment="1">
      <alignment vertical="center" wrapText="1"/>
    </xf>
    <xf numFmtId="0" fontId="13" fillId="0" borderId="1" xfId="0" applyFont="1" applyBorder="1" applyAlignment="1">
      <alignment vertical="center" wrapText="1"/>
    </xf>
    <xf numFmtId="168" fontId="7" fillId="0" borderId="1" xfId="21" applyNumberFormat="1" applyFont="1" applyBorder="1" applyAlignment="1">
      <alignment vertical="center" wrapText="1"/>
    </xf>
    <xf numFmtId="0" fontId="5" fillId="0" borderId="1" xfId="10" applyFont="1" applyBorder="1" applyAlignment="1">
      <alignment vertical="center" wrapText="1"/>
    </xf>
    <xf numFmtId="0" fontId="5" fillId="26" borderId="1" xfId="10" applyFont="1" applyFill="1" applyBorder="1" applyAlignment="1">
      <alignment vertical="center" wrapText="1"/>
    </xf>
    <xf numFmtId="0" fontId="7" fillId="0" borderId="1" xfId="4" applyFont="1" applyBorder="1" applyAlignment="1">
      <alignment vertical="center" wrapText="1"/>
    </xf>
    <xf numFmtId="177" fontId="5" fillId="26" borderId="1" xfId="13" applyNumberFormat="1" applyFont="1" applyFill="1" applyBorder="1" applyAlignment="1">
      <alignment vertical="center" wrapText="1"/>
    </xf>
    <xf numFmtId="177" fontId="5" fillId="0" borderId="1" xfId="13" applyNumberFormat="1" applyFont="1" applyBorder="1" applyAlignment="1">
      <alignment vertical="center" wrapText="1"/>
    </xf>
    <xf numFmtId="4" fontId="15" fillId="0" borderId="1" xfId="0" applyNumberFormat="1" applyFont="1" applyBorder="1" applyAlignment="1">
      <alignment vertical="center" wrapText="1"/>
    </xf>
    <xf numFmtId="0" fontId="7" fillId="26" borderId="1" xfId="8" applyFont="1" applyFill="1" applyBorder="1" applyAlignment="1">
      <alignment vertical="center"/>
    </xf>
    <xf numFmtId="0" fontId="7" fillId="26" borderId="1" xfId="8" applyFont="1" applyFill="1" applyBorder="1" applyAlignment="1">
      <alignment vertical="center" wrapText="1"/>
    </xf>
    <xf numFmtId="0" fontId="7" fillId="0" borderId="1" xfId="8" applyFont="1" applyBorder="1" applyAlignment="1">
      <alignment vertical="center"/>
    </xf>
    <xf numFmtId="0" fontId="7" fillId="0" borderId="1" xfId="8" applyFont="1" applyBorder="1" applyAlignment="1">
      <alignment vertical="center" wrapText="1"/>
    </xf>
    <xf numFmtId="3" fontId="7" fillId="0" borderId="1" xfId="0" applyNumberFormat="1" applyFont="1" applyBorder="1" applyAlignment="1">
      <alignment vertical="center"/>
    </xf>
    <xf numFmtId="3" fontId="7" fillId="26" borderId="1" xfId="0" applyNumberFormat="1" applyFont="1" applyFill="1" applyBorder="1" applyAlignment="1">
      <alignment vertical="center"/>
    </xf>
    <xf numFmtId="4" fontId="7" fillId="0" borderId="1" xfId="8" applyNumberFormat="1" applyFont="1" applyBorder="1" applyAlignment="1">
      <alignment vertical="center"/>
    </xf>
    <xf numFmtId="43" fontId="15" fillId="0" borderId="1" xfId="21" applyFont="1" applyBorder="1" applyAlignment="1">
      <alignment vertical="center" wrapText="1"/>
    </xf>
    <xf numFmtId="0" fontId="0" fillId="0" borderId="1" xfId="0" applyFill="1" applyBorder="1" applyAlignment="1">
      <alignment horizontal="center" vertical="center"/>
    </xf>
    <xf numFmtId="43" fontId="6" fillId="0" borderId="0" xfId="21" applyFont="1"/>
    <xf numFmtId="0" fontId="29" fillId="5" borderId="1" xfId="0" applyFont="1" applyFill="1" applyBorder="1" applyAlignment="1">
      <alignment horizontal="center" vertical="center"/>
    </xf>
    <xf numFmtId="0" fontId="70" fillId="2" borderId="4" xfId="0" applyFont="1" applyFill="1" applyBorder="1" applyAlignment="1">
      <alignment horizontal="center" vertical="center" wrapText="1"/>
    </xf>
    <xf numFmtId="0" fontId="70"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5" borderId="3" xfId="0" applyFont="1" applyFill="1" applyBorder="1" applyAlignment="1">
      <alignment horizontal="center" vertical="center" wrapText="1"/>
    </xf>
    <xf numFmtId="43" fontId="57" fillId="5" borderId="1" xfId="21" applyFont="1" applyFill="1" applyBorder="1"/>
    <xf numFmtId="0" fontId="67" fillId="0" borderId="1" xfId="0" applyFont="1" applyBorder="1" applyAlignment="1">
      <alignment horizontal="center" vertical="center" wrapText="1"/>
    </xf>
    <xf numFmtId="0" fontId="21" fillId="4" borderId="1" xfId="0" applyFont="1" applyFill="1" applyBorder="1" applyAlignment="1">
      <alignment horizontal="center" vertical="center" wrapText="1"/>
    </xf>
    <xf numFmtId="184" fontId="54" fillId="0" borderId="1" xfId="0" applyNumberFormat="1" applyFont="1" applyBorder="1" applyAlignment="1">
      <alignment horizontal="center" vertical="center"/>
    </xf>
    <xf numFmtId="0" fontId="21" fillId="0" borderId="1" xfId="0" applyFont="1" applyBorder="1" applyAlignment="1">
      <alignment horizontal="center" vertical="center" wrapText="1"/>
    </xf>
    <xf numFmtId="184" fontId="52" fillId="0" borderId="1" xfId="0" applyNumberFormat="1" applyFont="1" applyBorder="1" applyAlignment="1">
      <alignment horizontal="center" vertical="center"/>
    </xf>
    <xf numFmtId="184" fontId="21" fillId="4" borderId="1" xfId="0" applyNumberFormat="1" applyFont="1" applyFill="1" applyBorder="1" applyAlignment="1">
      <alignment horizontal="center" vertical="center" wrapText="1"/>
    </xf>
    <xf numFmtId="0" fontId="0" fillId="0" borderId="0" xfId="0"/>
    <xf numFmtId="0" fontId="5" fillId="2" borderId="1" xfId="0" applyFont="1" applyFill="1" applyBorder="1" applyAlignment="1">
      <alignment horizontal="center" vertical="center" wrapText="1"/>
    </xf>
    <xf numFmtId="167" fontId="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43" fontId="5" fillId="15" borderId="1" xfId="96" applyFont="1" applyFill="1" applyBorder="1" applyAlignment="1">
      <alignment horizontal="center" vertical="center" wrapText="1"/>
    </xf>
    <xf numFmtId="43" fontId="5" fillId="16" borderId="1" xfId="96" applyFont="1" applyFill="1" applyBorder="1" applyAlignment="1">
      <alignment horizontal="center" vertical="center" wrapText="1"/>
    </xf>
    <xf numFmtId="43" fontId="5" fillId="17" borderId="1" xfId="96" applyFont="1" applyFill="1" applyBorder="1" applyAlignment="1">
      <alignment horizontal="center" vertical="center" wrapText="1"/>
    </xf>
    <xf numFmtId="43" fontId="5" fillId="18" borderId="1" xfId="96" applyFont="1" applyFill="1" applyBorder="1" applyAlignment="1">
      <alignment horizontal="center" vertical="center" wrapText="1"/>
    </xf>
    <xf numFmtId="43" fontId="5" fillId="19" borderId="1" xfId="96" applyFont="1" applyFill="1" applyBorder="1" applyAlignment="1">
      <alignment horizontal="center" vertical="center" wrapText="1"/>
    </xf>
    <xf numFmtId="0" fontId="0" fillId="5" borderId="3" xfId="0" applyFill="1" applyBorder="1" applyAlignment="1">
      <alignment horizontal="center" vertical="center"/>
    </xf>
    <xf numFmtId="43" fontId="5" fillId="21" borderId="3" xfId="21" applyFont="1" applyFill="1" applyBorder="1" applyAlignment="1">
      <alignment horizontal="center" vertical="center" wrapText="1"/>
    </xf>
    <xf numFmtId="43" fontId="6" fillId="23" borderId="3" xfId="21" applyFont="1" applyFill="1" applyBorder="1" applyAlignment="1">
      <alignment horizontal="center" vertical="center" wrapText="1"/>
    </xf>
    <xf numFmtId="43" fontId="5" fillId="5" borderId="3" xfId="21" applyFont="1" applyFill="1" applyBorder="1" applyAlignment="1">
      <alignment horizontal="center" vertical="center" wrapText="1"/>
    </xf>
    <xf numFmtId="43" fontId="5" fillId="21" borderId="3" xfId="96" applyFont="1" applyFill="1" applyBorder="1" applyAlignment="1">
      <alignment horizontal="center" vertical="center" wrapText="1"/>
    </xf>
    <xf numFmtId="0" fontId="29" fillId="27" borderId="1" xfId="0" applyFont="1" applyFill="1" applyBorder="1" applyAlignment="1">
      <alignment horizontal="center" vertical="center"/>
    </xf>
    <xf numFmtId="43" fontId="29" fillId="2" borderId="3" xfId="21" applyFont="1" applyFill="1" applyBorder="1"/>
    <xf numFmtId="43" fontId="0" fillId="15" borderId="3" xfId="21" applyFont="1" applyFill="1" applyBorder="1" applyAlignment="1">
      <alignment horizontal="center"/>
    </xf>
    <xf numFmtId="43" fontId="29" fillId="15" borderId="3" xfId="21" applyFont="1" applyFill="1" applyBorder="1" applyAlignment="1">
      <alignment horizontal="center"/>
    </xf>
    <xf numFmtId="43" fontId="38" fillId="0" borderId="3" xfId="0" applyNumberFormat="1" applyFont="1" applyBorder="1"/>
    <xf numFmtId="0" fontId="26" fillId="2" borderId="1" xfId="0" applyFont="1" applyFill="1" applyBorder="1"/>
    <xf numFmtId="0" fontId="26" fillId="4" borderId="1" xfId="0" applyFont="1" applyFill="1" applyBorder="1" applyAlignment="1">
      <alignment horizontal="center" vertical="center"/>
    </xf>
    <xf numFmtId="0" fontId="26" fillId="29" borderId="1" xfId="0" applyFont="1" applyFill="1" applyBorder="1" applyAlignment="1">
      <alignment horizontal="center" vertical="center" wrapText="1"/>
    </xf>
    <xf numFmtId="164" fontId="15" fillId="2" borderId="1" xfId="0" applyNumberFormat="1" applyFont="1" applyFill="1" applyBorder="1" applyAlignment="1">
      <alignment vertical="center"/>
    </xf>
    <xf numFmtId="0" fontId="22"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0" fontId="22" fillId="2" borderId="1" xfId="0" applyFont="1" applyFill="1" applyBorder="1" applyAlignment="1">
      <alignment horizontal="center"/>
    </xf>
    <xf numFmtId="0" fontId="30" fillId="2" borderId="1" xfId="25" applyFont="1" applyFill="1" applyBorder="1" applyAlignment="1">
      <alignment horizontal="center" vertical="center" wrapText="1"/>
    </xf>
    <xf numFmtId="0" fontId="5" fillId="23" borderId="1" xfId="0" applyFont="1" applyFill="1" applyBorder="1" applyAlignment="1">
      <alignment vertical="center"/>
    </xf>
    <xf numFmtId="0" fontId="51" fillId="0" borderId="1" xfId="0" applyFont="1" applyFill="1" applyBorder="1" applyAlignment="1">
      <alignment vertical="center"/>
    </xf>
    <xf numFmtId="0" fontId="51" fillId="0" borderId="1" xfId="0" applyFont="1" applyFill="1" applyBorder="1" applyAlignment="1">
      <alignment horizontal="center" vertical="center"/>
    </xf>
    <xf numFmtId="0" fontId="51" fillId="0" borderId="1" xfId="0" applyFont="1" applyFill="1" applyBorder="1" applyAlignment="1">
      <alignment vertical="center" wrapText="1"/>
    </xf>
    <xf numFmtId="0" fontId="0" fillId="0" borderId="0" xfId="0" applyAlignment="1"/>
    <xf numFmtId="0" fontId="51" fillId="0" borderId="1" xfId="0" applyFont="1" applyFill="1" applyBorder="1" applyAlignment="1">
      <alignment horizontal="center" vertical="center" wrapText="1"/>
    </xf>
    <xf numFmtId="0" fontId="0" fillId="0" borderId="0" xfId="0" applyFill="1"/>
    <xf numFmtId="0" fontId="28" fillId="9" borderId="1" xfId="29" applyFont="1" applyFill="1" applyBorder="1" applyAlignment="1" applyProtection="1">
      <alignment horizontal="center" vertical="center" wrapText="1"/>
      <protection locked="0"/>
    </xf>
    <xf numFmtId="0" fontId="22" fillId="0" borderId="1" xfId="0" applyFont="1" applyBorder="1" applyAlignment="1">
      <alignment horizontal="center" vertical="center"/>
    </xf>
    <xf numFmtId="0" fontId="0" fillId="0" borderId="0" xfId="0" applyAlignment="1">
      <alignment wrapText="1"/>
    </xf>
    <xf numFmtId="0" fontId="22" fillId="0" borderId="1" xfId="0" applyFont="1" applyFill="1" applyBorder="1" applyAlignment="1">
      <alignment horizontal="center" vertical="center"/>
    </xf>
    <xf numFmtId="0" fontId="0" fillId="0" borderId="0" xfId="0" applyFill="1" applyAlignment="1">
      <alignment wrapText="1"/>
    </xf>
    <xf numFmtId="0" fontId="22" fillId="0" borderId="1" xfId="0" applyFont="1" applyFill="1" applyBorder="1" applyAlignment="1">
      <alignment vertical="center" wrapText="1"/>
    </xf>
    <xf numFmtId="0" fontId="22" fillId="0" borderId="1" xfId="0" applyFont="1" applyFill="1" applyBorder="1" applyAlignment="1">
      <alignment vertical="center"/>
    </xf>
    <xf numFmtId="0" fontId="22" fillId="0" borderId="0" xfId="0" applyFont="1" applyFill="1" applyAlignment="1">
      <alignment horizontal="center" vertical="center" wrapText="1"/>
    </xf>
    <xf numFmtId="0" fontId="78" fillId="0" borderId="1" xfId="0" applyFont="1" applyFill="1" applyBorder="1" applyAlignment="1">
      <alignment horizontal="center" vertical="center" wrapText="1"/>
    </xf>
    <xf numFmtId="0" fontId="78" fillId="0" borderId="1" xfId="1" applyFont="1" applyFill="1" applyBorder="1" applyAlignment="1">
      <alignment horizontal="center" vertical="center" wrapText="1"/>
    </xf>
    <xf numFmtId="0" fontId="22" fillId="0" borderId="1" xfId="0" applyFont="1" applyBorder="1" applyAlignment="1">
      <alignment horizontal="center" vertical="center"/>
    </xf>
    <xf numFmtId="0" fontId="0" fillId="0" borderId="0" xfId="0" applyFill="1" applyAlignment="1">
      <alignment horizontal="center" vertical="center"/>
    </xf>
    <xf numFmtId="0" fontId="35" fillId="0" borderId="0" xfId="0" applyFont="1" applyFill="1"/>
    <xf numFmtId="0" fontId="79" fillId="0" borderId="1" xfId="0" applyFont="1" applyFill="1" applyBorder="1" applyAlignment="1">
      <alignment horizontal="center" vertical="center" wrapText="1"/>
    </xf>
    <xf numFmtId="0" fontId="51" fillId="0" borderId="1" xfId="0" applyFont="1" applyBorder="1" applyAlignment="1">
      <alignment vertical="center" wrapText="1"/>
    </xf>
    <xf numFmtId="0" fontId="22" fillId="0" borderId="1" xfId="0" applyFont="1" applyBorder="1" applyAlignment="1">
      <alignment horizontal="left" vertical="center" wrapText="1"/>
    </xf>
    <xf numFmtId="0" fontId="51" fillId="0" borderId="1" xfId="0" applyFont="1" applyBorder="1" applyAlignment="1">
      <alignment horizontal="center" vertical="center"/>
    </xf>
    <xf numFmtId="49" fontId="79" fillId="0" borderId="1" xfId="0" applyNumberFormat="1" applyFont="1" applyBorder="1" applyAlignment="1">
      <alignment horizontal="left" vertical="center" wrapText="1"/>
    </xf>
    <xf numFmtId="0" fontId="51" fillId="0" borderId="1" xfId="0" applyFont="1" applyBorder="1" applyAlignment="1">
      <alignment horizontal="left" vertical="center" wrapText="1"/>
    </xf>
    <xf numFmtId="49" fontId="79" fillId="2" borderId="1" xfId="0" applyNumberFormat="1" applyFont="1" applyFill="1" applyBorder="1" applyAlignment="1">
      <alignment horizontal="left" vertical="center" wrapText="1"/>
    </xf>
    <xf numFmtId="0" fontId="22" fillId="2" borderId="1" xfId="0" applyFont="1" applyFill="1" applyBorder="1" applyAlignment="1">
      <alignment horizontal="left" vertical="center" wrapText="1"/>
    </xf>
    <xf numFmtId="0" fontId="27" fillId="0" borderId="1" xfId="0" applyFont="1" applyFill="1" applyBorder="1" applyAlignment="1">
      <alignment horizontal="center" vertical="center"/>
    </xf>
    <xf numFmtId="43" fontId="27" fillId="0" borderId="1" xfId="21" applyFont="1" applyFill="1" applyBorder="1" applyAlignment="1">
      <alignment horizontal="center" vertical="center"/>
    </xf>
    <xf numFmtId="43" fontId="27" fillId="0" borderId="1" xfId="21" applyFont="1" applyFill="1" applyBorder="1" applyAlignment="1">
      <alignment horizontal="center" vertical="center" wrapText="1"/>
    </xf>
    <xf numFmtId="43" fontId="38" fillId="0" borderId="0" xfId="21" applyFont="1"/>
    <xf numFmtId="167" fontId="22" fillId="23" borderId="1" xfId="0" applyNumberFormat="1" applyFont="1" applyFill="1" applyBorder="1" applyAlignment="1">
      <alignment horizontal="center" vertical="center" wrapText="1"/>
    </xf>
    <xf numFmtId="167" fontId="22" fillId="2" borderId="1" xfId="0" applyNumberFormat="1" applyFont="1" applyFill="1" applyBorder="1" applyAlignment="1">
      <alignment horizontal="center" vertical="center" wrapText="1"/>
    </xf>
    <xf numFmtId="167" fontId="78" fillId="2" borderId="1" xfId="0" applyNumberFormat="1" applyFont="1" applyFill="1" applyBorder="1" applyAlignment="1">
      <alignment horizontal="center" vertical="center" wrapText="1"/>
    </xf>
    <xf numFmtId="167" fontId="78" fillId="23" borderId="1"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167" fontId="42" fillId="10" borderId="1" xfId="0" applyNumberFormat="1" applyFont="1" applyFill="1" applyBorder="1" applyAlignment="1">
      <alignment horizontal="center" vertical="center" wrapText="1"/>
    </xf>
    <xf numFmtId="0" fontId="5" fillId="0" borderId="0" xfId="0" applyFont="1" applyAlignment="1">
      <alignment horizontal="center" vertical="center" wrapText="1"/>
    </xf>
    <xf numFmtId="43" fontId="5" fillId="31" borderId="1" xfId="21" applyFont="1" applyFill="1" applyBorder="1" applyAlignment="1">
      <alignment horizontal="center" vertical="center" wrapText="1"/>
    </xf>
    <xf numFmtId="167" fontId="22" fillId="0" borderId="1" xfId="0" applyNumberFormat="1" applyFont="1" applyBorder="1" applyAlignment="1">
      <alignment horizontal="center" vertical="center" wrapText="1"/>
    </xf>
    <xf numFmtId="166" fontId="23"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26" fillId="24" borderId="1" xfId="0" applyFont="1" applyFill="1" applyBorder="1" applyAlignment="1">
      <alignment horizontal="center"/>
    </xf>
    <xf numFmtId="0" fontId="44" fillId="24" borderId="1" xfId="0" applyFont="1" applyFill="1" applyBorder="1" applyAlignment="1">
      <alignment horizontal="center" vertical="center" wrapText="1"/>
    </xf>
    <xf numFmtId="0" fontId="19" fillId="24" borderId="1" xfId="0" applyFont="1" applyFill="1" applyBorder="1" applyAlignment="1">
      <alignment horizontal="center" vertical="center" wrapText="1"/>
    </xf>
    <xf numFmtId="167" fontId="26" fillId="24" borderId="1" xfId="0" applyNumberFormat="1" applyFont="1" applyFill="1" applyBorder="1" applyAlignment="1">
      <alignment horizontal="center" vertical="center" wrapText="1"/>
    </xf>
    <xf numFmtId="0" fontId="26" fillId="24" borderId="1" xfId="0" applyFont="1" applyFill="1" applyBorder="1" applyAlignment="1">
      <alignment horizontal="center" vertical="center" wrapText="1"/>
    </xf>
    <xf numFmtId="0" fontId="26" fillId="24" borderId="1" xfId="0" applyFont="1" applyFill="1" applyBorder="1" applyAlignment="1">
      <alignment horizontal="center" vertical="center"/>
    </xf>
    <xf numFmtId="0" fontId="5" fillId="0" borderId="1" xfId="1" applyFont="1" applyBorder="1" applyAlignment="1">
      <alignment horizontal="center" vertical="center" wrapText="1"/>
    </xf>
    <xf numFmtId="0" fontId="7" fillId="0" borderId="1" xfId="0" applyFont="1" applyBorder="1" applyAlignment="1">
      <alignment horizontal="center" vertical="center" wrapText="1"/>
    </xf>
    <xf numFmtId="0" fontId="5" fillId="32" borderId="2" xfId="0" applyFont="1" applyFill="1" applyBorder="1" applyAlignment="1">
      <alignment horizontal="center" vertical="center" wrapText="1"/>
    </xf>
    <xf numFmtId="0" fontId="5" fillId="32" borderId="12" xfId="0" applyFont="1" applyFill="1" applyBorder="1" applyAlignment="1">
      <alignment horizontal="left" vertical="center" wrapText="1"/>
    </xf>
    <xf numFmtId="0" fontId="5" fillId="32" borderId="12" xfId="0" applyFont="1" applyFill="1" applyBorder="1" applyAlignment="1">
      <alignment horizontal="center" vertical="center" wrapText="1"/>
    </xf>
    <xf numFmtId="167" fontId="5" fillId="32" borderId="12" xfId="0" applyNumberFormat="1" applyFont="1" applyFill="1" applyBorder="1" applyAlignment="1">
      <alignment horizontal="center" vertical="center" wrapText="1"/>
    </xf>
    <xf numFmtId="166" fontId="5" fillId="32" borderId="12" xfId="0" applyNumberFormat="1" applyFont="1" applyFill="1" applyBorder="1" applyAlignment="1">
      <alignment horizontal="center" vertical="center" wrapText="1"/>
    </xf>
    <xf numFmtId="3" fontId="5" fillId="32" borderId="12" xfId="0" applyNumberFormat="1" applyFont="1" applyFill="1" applyBorder="1" applyAlignment="1">
      <alignment horizontal="center" vertical="center" wrapText="1"/>
    </xf>
    <xf numFmtId="0" fontId="0" fillId="0" borderId="0" xfId="0" applyAlignment="1">
      <alignment vertical="center"/>
    </xf>
    <xf numFmtId="0" fontId="26" fillId="0" borderId="1" xfId="1" applyFont="1" applyBorder="1" applyAlignment="1">
      <alignment horizontal="center" vertical="center"/>
    </xf>
    <xf numFmtId="0" fontId="26" fillId="0" borderId="3" xfId="0" applyFont="1" applyBorder="1" applyAlignment="1">
      <alignment horizontal="center" vertical="center" wrapText="1"/>
    </xf>
    <xf numFmtId="0" fontId="26" fillId="0"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81" fillId="11" borderId="12" xfId="12" applyFont="1" applyFill="1" applyBorder="1" applyAlignment="1">
      <alignment horizontal="center" vertical="center" wrapText="1"/>
    </xf>
    <xf numFmtId="167" fontId="5" fillId="0" borderId="0" xfId="0" applyNumberFormat="1" applyFont="1" applyAlignment="1">
      <alignment horizontal="left" vertical="center" wrapText="1"/>
    </xf>
    <xf numFmtId="0" fontId="12" fillId="0" borderId="1" xfId="0" applyFont="1" applyBorder="1" applyAlignment="1">
      <alignment horizontal="left" vertical="center" wrapText="1"/>
    </xf>
    <xf numFmtId="0" fontId="5"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2"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left"/>
    </xf>
    <xf numFmtId="0" fontId="12" fillId="2" borderId="1" xfId="0" applyFont="1" applyFill="1" applyBorder="1" applyAlignment="1">
      <alignment horizontal="left" vertical="center" wrapText="1"/>
    </xf>
    <xf numFmtId="2" fontId="12" fillId="2" borderId="1" xfId="0" applyNumberFormat="1" applyFont="1" applyFill="1" applyBorder="1" applyAlignment="1">
      <alignment horizontal="left" vertical="center" wrapText="1"/>
    </xf>
    <xf numFmtId="0" fontId="7" fillId="0" borderId="1" xfId="0" applyFont="1" applyBorder="1" applyAlignment="1">
      <alignment horizontal="left" vertical="center" wrapText="1"/>
    </xf>
    <xf numFmtId="49" fontId="15" fillId="0" borderId="1" xfId="18" applyNumberFormat="1" applyFont="1" applyBorder="1" applyAlignment="1">
      <alignment horizontal="left" vertical="center" wrapText="1"/>
    </xf>
    <xf numFmtId="171" fontId="15" fillId="0" borderId="1" xfId="18" applyFont="1" applyBorder="1" applyAlignment="1">
      <alignment horizontal="left" vertical="center" wrapText="1"/>
    </xf>
    <xf numFmtId="171" fontId="15" fillId="7" borderId="1" xfId="18" applyFont="1" applyFill="1" applyBorder="1" applyAlignment="1">
      <alignment horizontal="left" vertical="center" wrapText="1"/>
    </xf>
    <xf numFmtId="171" fontId="15" fillId="0" borderId="1" xfId="18" applyFont="1" applyBorder="1" applyAlignment="1">
      <alignment horizontal="left" vertical="center"/>
    </xf>
    <xf numFmtId="0" fontId="7" fillId="0" borderId="1" xfId="1" applyFont="1" applyBorder="1" applyAlignment="1">
      <alignment horizontal="left" vertical="center"/>
    </xf>
    <xf numFmtId="0" fontId="5" fillId="0" borderId="1" xfId="0" applyFont="1" applyBorder="1" applyAlignment="1">
      <alignment horizontal="left" vertical="center"/>
    </xf>
    <xf numFmtId="0" fontId="7" fillId="0" borderId="1" xfId="0" applyFont="1" applyBorder="1" applyAlignment="1">
      <alignment horizontal="left" vertical="center"/>
    </xf>
    <xf numFmtId="0" fontId="5" fillId="2" borderId="1" xfId="0" applyFont="1" applyFill="1" applyBorder="1" applyAlignment="1">
      <alignment horizontal="left" vertical="center"/>
    </xf>
    <xf numFmtId="0" fontId="7" fillId="0" borderId="1" xfId="2" applyFont="1" applyBorder="1" applyAlignment="1">
      <alignment horizontal="left" vertical="center" wrapText="1"/>
    </xf>
    <xf numFmtId="0" fontId="17" fillId="0" borderId="1" xfId="0" applyFont="1" applyBorder="1" applyAlignment="1">
      <alignment horizontal="left" vertical="center"/>
    </xf>
    <xf numFmtId="0" fontId="13" fillId="0" borderId="1" xfId="0" applyFont="1" applyBorder="1" applyAlignment="1">
      <alignment horizontal="left" vertical="center" wrapText="1"/>
    </xf>
    <xf numFmtId="0" fontId="13" fillId="2" borderId="1"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26" fillId="2" borderId="1" xfId="0" applyFont="1" applyFill="1" applyBorder="1" applyAlignment="1">
      <alignment horizontal="left" vertical="center"/>
    </xf>
    <xf numFmtId="0" fontId="44" fillId="2" borderId="1" xfId="0" applyFont="1" applyFill="1" applyBorder="1" applyAlignment="1">
      <alignment horizontal="left" vertical="center" wrapText="1"/>
    </xf>
    <xf numFmtId="0" fontId="26" fillId="0" borderId="1" xfId="0" applyFont="1" applyBorder="1" applyAlignment="1">
      <alignment horizontal="left" vertical="center" wrapText="1"/>
    </xf>
    <xf numFmtId="0" fontId="19" fillId="2" borderId="1" xfId="0" applyFont="1" applyFill="1" applyBorder="1" applyAlignment="1">
      <alignment horizontal="left" vertical="center"/>
    </xf>
    <xf numFmtId="0" fontId="26" fillId="2" borderId="1" xfId="8" applyFont="1" applyFill="1" applyBorder="1" applyAlignment="1">
      <alignment horizontal="left" vertical="center" wrapText="1"/>
    </xf>
    <xf numFmtId="0" fontId="15" fillId="2" borderId="1" xfId="0" applyFont="1" applyFill="1" applyBorder="1" applyAlignment="1">
      <alignment horizontal="left" vertical="center"/>
    </xf>
    <xf numFmtId="2" fontId="7" fillId="0" borderId="1" xfId="1" applyNumberFormat="1" applyFont="1" applyBorder="1" applyAlignment="1">
      <alignment horizontal="left" wrapText="1"/>
    </xf>
    <xf numFmtId="0" fontId="7" fillId="2" borderId="2" xfId="0" applyFont="1" applyFill="1" applyBorder="1" applyAlignment="1">
      <alignment horizontal="left" vertical="center" wrapText="1"/>
    </xf>
    <xf numFmtId="0" fontId="7" fillId="2" borderId="4" xfId="0" applyFont="1" applyFill="1" applyBorder="1" applyAlignment="1">
      <alignment horizontal="left" vertical="center" wrapText="1"/>
    </xf>
    <xf numFmtId="0" fontId="26" fillId="0" borderId="1" xfId="8" applyFont="1" applyBorder="1" applyAlignment="1" applyProtection="1">
      <alignment horizontal="left" vertical="center"/>
      <protection locked="0"/>
    </xf>
    <xf numFmtId="1" fontId="30" fillId="0" borderId="1" xfId="0" applyNumberFormat="1" applyFont="1" applyBorder="1" applyAlignment="1">
      <alignment horizontal="left" vertical="center"/>
    </xf>
    <xf numFmtId="49" fontId="30" fillId="0" borderId="1" xfId="0" applyNumberFormat="1" applyFont="1" applyBorder="1" applyAlignment="1" applyProtection="1">
      <alignment horizontal="left" vertical="center"/>
      <protection locked="0"/>
    </xf>
    <xf numFmtId="0" fontId="30" fillId="0" borderId="1" xfId="10" applyFont="1" applyBorder="1" applyAlignment="1">
      <alignment horizontal="left" vertical="center" wrapText="1"/>
    </xf>
    <xf numFmtId="0" fontId="80" fillId="0" borderId="1" xfId="0" applyFont="1" applyBorder="1" applyAlignment="1">
      <alignment horizontal="left" vertical="center" wrapText="1"/>
    </xf>
    <xf numFmtId="0" fontId="30" fillId="0" borderId="1" xfId="0" applyFont="1" applyBorder="1" applyAlignment="1">
      <alignment horizontal="left" vertical="center" wrapText="1"/>
    </xf>
    <xf numFmtId="0" fontId="15" fillId="0" borderId="1" xfId="0" applyFont="1" applyBorder="1" applyAlignment="1">
      <alignment horizontal="left" vertical="center" wrapText="1"/>
    </xf>
    <xf numFmtId="0" fontId="12" fillId="0" borderId="1" xfId="2" applyFont="1" applyBorder="1" applyAlignment="1">
      <alignment horizontal="left" vertical="center" wrapText="1"/>
    </xf>
    <xf numFmtId="0" fontId="7" fillId="0" borderId="4" xfId="0" applyFont="1" applyBorder="1" applyAlignment="1">
      <alignment horizontal="left" vertical="center" wrapText="1"/>
    </xf>
    <xf numFmtId="0" fontId="0" fillId="0" borderId="0" xfId="0" applyFont="1" applyAlignment="1">
      <alignment horizontal="left"/>
    </xf>
    <xf numFmtId="167" fontId="21" fillId="0" borderId="0" xfId="0" applyNumberFormat="1" applyFont="1" applyAlignment="1">
      <alignment horizontal="center" vertical="center" wrapText="1"/>
    </xf>
    <xf numFmtId="0" fontId="50" fillId="2" borderId="0" xfId="0" applyFont="1" applyFill="1" applyAlignment="1">
      <alignment horizontal="center" vertical="center"/>
    </xf>
    <xf numFmtId="0" fontId="0" fillId="0" borderId="0" xfId="0" applyFont="1" applyAlignment="1">
      <alignment horizontal="center"/>
    </xf>
    <xf numFmtId="0" fontId="49" fillId="0" borderId="0" xfId="0" applyFont="1" applyAlignment="1">
      <alignment horizontal="center"/>
    </xf>
    <xf numFmtId="0" fontId="15" fillId="0" borderId="12" xfId="0" applyFont="1" applyBorder="1" applyAlignment="1">
      <alignment horizontal="center"/>
    </xf>
    <xf numFmtId="166" fontId="5" fillId="32" borderId="1" xfId="0" applyNumberFormat="1" applyFont="1" applyFill="1" applyBorder="1" applyAlignment="1">
      <alignment horizontal="center" vertical="center" wrapText="1"/>
    </xf>
    <xf numFmtId="0" fontId="0" fillId="0" borderId="1" xfId="0" applyFont="1" applyBorder="1" applyAlignment="1">
      <alignment horizontal="center"/>
    </xf>
    <xf numFmtId="0" fontId="30" fillId="0" borderId="1" xfId="8" applyFont="1" applyBorder="1" applyAlignment="1" applyProtection="1">
      <alignment horizontal="left" vertical="center"/>
      <protection locked="0"/>
    </xf>
    <xf numFmtId="0" fontId="22" fillId="0" borderId="1" xfId="0" applyFont="1" applyBorder="1" applyAlignment="1">
      <alignment horizontal="center" vertical="center"/>
    </xf>
    <xf numFmtId="0" fontId="22" fillId="0" borderId="1" xfId="0" applyFont="1" applyFill="1" applyBorder="1" applyAlignment="1">
      <alignment horizontal="center" vertical="center"/>
    </xf>
    <xf numFmtId="0" fontId="52" fillId="2" borderId="1" xfId="0" applyFont="1" applyFill="1" applyBorder="1" applyAlignment="1">
      <alignment horizontal="center" vertical="center" wrapText="1"/>
    </xf>
    <xf numFmtId="0" fontId="51" fillId="0" borderId="1" xfId="0" applyFont="1" applyBorder="1" applyAlignment="1">
      <alignment horizontal="center" vertical="center" wrapText="1"/>
    </xf>
    <xf numFmtId="0" fontId="26" fillId="2" borderId="1" xfId="0" applyFont="1" applyFill="1" applyBorder="1" applyAlignment="1">
      <alignment horizontal="center" vertical="center" wrapText="1"/>
    </xf>
    <xf numFmtId="0" fontId="28" fillId="9" borderId="1" xfId="29" applyFont="1" applyFill="1" applyBorder="1" applyAlignment="1" applyProtection="1">
      <alignment horizontal="center" vertical="center" wrapText="1"/>
      <protection locked="0"/>
    </xf>
    <xf numFmtId="167" fontId="42" fillId="9" borderId="1" xfId="0" applyNumberFormat="1" applyFont="1" applyFill="1" applyBorder="1" applyAlignment="1">
      <alignment horizontal="center" vertical="center" wrapText="1"/>
    </xf>
    <xf numFmtId="164" fontId="57" fillId="16" borderId="1" xfId="0" applyNumberFormat="1" applyFont="1" applyFill="1" applyBorder="1" applyAlignment="1">
      <alignment horizontal="center" vertical="center"/>
    </xf>
    <xf numFmtId="175" fontId="82" fillId="23" borderId="0" xfId="21" applyNumberFormat="1" applyFont="1" applyFill="1" applyAlignment="1">
      <alignment horizontal="center" vertical="center"/>
    </xf>
    <xf numFmtId="0" fontId="26" fillId="2" borderId="1" xfId="0" applyFont="1" applyFill="1" applyBorder="1" applyAlignment="1">
      <alignment horizontal="center" vertical="center" wrapText="1"/>
    </xf>
    <xf numFmtId="0" fontId="29" fillId="14" borderId="17" xfId="0" applyFont="1" applyFill="1" applyBorder="1" applyAlignment="1">
      <alignment horizontal="center" vertical="center"/>
    </xf>
    <xf numFmtId="0" fontId="26" fillId="2" borderId="1" xfId="0" applyFont="1" applyFill="1" applyBorder="1" applyAlignment="1">
      <alignment horizontal="center" vertical="center" wrapText="1"/>
    </xf>
    <xf numFmtId="164" fontId="57" fillId="20" borderId="3" xfId="0" applyNumberFormat="1" applyFont="1" applyFill="1" applyBorder="1" applyAlignment="1">
      <alignment horizontal="center" vertical="center"/>
    </xf>
    <xf numFmtId="164" fontId="57" fillId="5" borderId="3" xfId="0" applyNumberFormat="1" applyFont="1" applyFill="1" applyBorder="1" applyAlignment="1">
      <alignment horizontal="center" vertical="center"/>
    </xf>
    <xf numFmtId="164" fontId="57" fillId="20" borderId="3" xfId="0" applyNumberFormat="1" applyFont="1" applyFill="1" applyBorder="1" applyAlignment="1">
      <alignment horizontal="center" vertical="center" wrapText="1"/>
    </xf>
    <xf numFmtId="175" fontId="21" fillId="5" borderId="3" xfId="21" applyNumberFormat="1" applyFont="1" applyFill="1" applyBorder="1" applyAlignment="1">
      <alignment horizontal="center" vertical="center"/>
    </xf>
    <xf numFmtId="164" fontId="57" fillId="5" borderId="3" xfId="0" applyNumberFormat="1" applyFont="1" applyFill="1" applyBorder="1"/>
    <xf numFmtId="164" fontId="57" fillId="20" borderId="3" xfId="0" applyNumberFormat="1" applyFont="1" applyFill="1" applyBorder="1"/>
    <xf numFmtId="0" fontId="5" fillId="23" borderId="3" xfId="0" applyFont="1" applyFill="1" applyBorder="1" applyAlignment="1">
      <alignment vertical="center" wrapText="1"/>
    </xf>
    <xf numFmtId="0" fontId="5" fillId="23" borderId="3" xfId="0" applyFont="1" applyFill="1" applyBorder="1" applyAlignment="1">
      <alignment vertical="center"/>
    </xf>
    <xf numFmtId="167" fontId="83" fillId="10" borderId="1" xfId="0" applyNumberFormat="1" applyFont="1" applyFill="1" applyBorder="1" applyAlignment="1">
      <alignment horizontal="center" vertical="center" wrapText="1"/>
    </xf>
    <xf numFmtId="0" fontId="85" fillId="0" borderId="1" xfId="0" applyFont="1" applyBorder="1" applyAlignment="1">
      <alignment horizontal="center" vertical="center" wrapText="1"/>
    </xf>
    <xf numFmtId="1" fontId="19" fillId="0" borderId="1" xfId="0" applyNumberFormat="1" applyFont="1" applyBorder="1" applyAlignment="1">
      <alignment horizontal="center" vertical="center" wrapText="1"/>
    </xf>
    <xf numFmtId="0" fontId="19" fillId="0" borderId="7" xfId="0" applyFont="1" applyBorder="1" applyAlignment="1">
      <alignment horizontal="center" vertical="center" wrapText="1"/>
    </xf>
    <xf numFmtId="0" fontId="19" fillId="0" borderId="6" xfId="0" applyFont="1" applyBorder="1" applyAlignment="1">
      <alignment horizontal="center" vertical="center" wrapText="1"/>
    </xf>
    <xf numFmtId="0" fontId="26" fillId="23" borderId="3" xfId="0" applyFont="1" applyFill="1" applyBorder="1" applyAlignment="1">
      <alignment vertical="center" wrapText="1"/>
    </xf>
    <xf numFmtId="0" fontId="30" fillId="0" borderId="2"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14" fontId="85" fillId="0" borderId="1" xfId="0" applyNumberFormat="1" applyFont="1" applyBorder="1" applyAlignment="1">
      <alignment horizontal="center" vertical="center" wrapText="1"/>
    </xf>
    <xf numFmtId="43" fontId="29" fillId="0" borderId="1" xfId="21" applyFont="1" applyBorder="1" applyAlignment="1">
      <alignment horizontal="center" vertical="center"/>
    </xf>
    <xf numFmtId="43" fontId="26" fillId="5" borderId="1" xfId="21" applyFont="1" applyFill="1" applyBorder="1" applyAlignment="1">
      <alignment horizontal="center" vertical="center"/>
    </xf>
    <xf numFmtId="0" fontId="19" fillId="0" borderId="1" xfId="0" applyFont="1" applyBorder="1" applyAlignment="1">
      <alignment horizontal="center" vertical="center" wrapText="1"/>
    </xf>
    <xf numFmtId="0" fontId="26" fillId="5" borderId="1" xfId="0" applyFont="1" applyFill="1" applyBorder="1"/>
    <xf numFmtId="0" fontId="26" fillId="0" borderId="3" xfId="0" applyFont="1" applyBorder="1" applyAlignment="1">
      <alignment horizontal="center" vertical="center"/>
    </xf>
    <xf numFmtId="164" fontId="29" fillId="0" borderId="1" xfId="0" applyNumberFormat="1" applyFont="1" applyBorder="1" applyAlignment="1">
      <alignment horizontal="center" vertical="center"/>
    </xf>
    <xf numFmtId="0" fontId="85" fillId="0" borderId="2" xfId="0" applyFont="1" applyBorder="1" applyAlignment="1">
      <alignment horizontal="center" vertical="center" wrapText="1"/>
    </xf>
    <xf numFmtId="0" fontId="85" fillId="2" borderId="2" xfId="0" applyFont="1" applyFill="1" applyBorder="1" applyAlignment="1">
      <alignment horizontal="center" vertical="center" wrapText="1"/>
    </xf>
    <xf numFmtId="0" fontId="86" fillId="0" borderId="2" xfId="0" applyFont="1" applyBorder="1" applyAlignment="1">
      <alignment horizontal="center" vertical="center" wrapText="1"/>
    </xf>
    <xf numFmtId="164" fontId="29" fillId="0" borderId="1" xfId="0" applyNumberFormat="1" applyFont="1" applyBorder="1" applyAlignment="1">
      <alignment vertical="center"/>
    </xf>
    <xf numFmtId="0" fontId="0" fillId="2" borderId="1" xfId="0" applyFill="1" applyBorder="1"/>
    <xf numFmtId="0" fontId="29" fillId="0" borderId="17" xfId="0" applyFont="1" applyBorder="1" applyAlignment="1">
      <alignment horizontal="center" vertical="center"/>
    </xf>
    <xf numFmtId="0" fontId="5" fillId="0" borderId="3" xfId="0" applyFont="1" applyBorder="1" applyAlignment="1">
      <alignment vertical="center"/>
    </xf>
    <xf numFmtId="0" fontId="29" fillId="23" borderId="1" xfId="0" applyFont="1" applyFill="1" applyBorder="1" applyAlignment="1">
      <alignment horizontal="center" vertical="center" wrapText="1"/>
    </xf>
    <xf numFmtId="0" fontId="29" fillId="27" borderId="1" xfId="0" applyFont="1" applyFill="1" applyBorder="1" applyAlignment="1">
      <alignment horizontal="center" vertical="center" wrapText="1"/>
    </xf>
    <xf numFmtId="0" fontId="29" fillId="25" borderId="1" xfId="0" applyFont="1" applyFill="1" applyBorder="1" applyAlignment="1">
      <alignment horizontal="center" vertical="center" wrapText="1"/>
    </xf>
    <xf numFmtId="0" fontId="29" fillId="23" borderId="19" xfId="0" applyFont="1" applyFill="1" applyBorder="1" applyAlignment="1">
      <alignment horizontal="center" vertical="center" wrapText="1"/>
    </xf>
    <xf numFmtId="0" fontId="26" fillId="0" borderId="0" xfId="0" applyFont="1" applyAlignment="1">
      <alignment horizontal="center" wrapText="1"/>
    </xf>
    <xf numFmtId="0" fontId="80" fillId="0" borderId="1" xfId="0" applyFont="1" applyBorder="1" applyAlignment="1">
      <alignment horizontal="center" vertical="center" wrapText="1"/>
    </xf>
    <xf numFmtId="0" fontId="26" fillId="2" borderId="3" xfId="0" applyFont="1" applyFill="1" applyBorder="1" applyAlignment="1">
      <alignment horizontal="center" vertical="center" wrapText="1"/>
    </xf>
    <xf numFmtId="0" fontId="30" fillId="2" borderId="1" xfId="6" applyFont="1" applyFill="1" applyBorder="1" applyAlignment="1">
      <alignment horizontal="center" vertical="center" wrapText="1"/>
    </xf>
    <xf numFmtId="0" fontId="26" fillId="0" borderId="1" xfId="1" applyFont="1" applyBorder="1" applyAlignment="1">
      <alignment horizontal="center" vertical="center" wrapText="1"/>
    </xf>
    <xf numFmtId="0" fontId="80" fillId="2" borderId="1" xfId="0" applyFont="1" applyFill="1" applyBorder="1" applyAlignment="1">
      <alignment horizontal="center" vertical="center" wrapText="1"/>
    </xf>
    <xf numFmtId="0" fontId="26" fillId="2" borderId="1" xfId="1" applyFont="1" applyFill="1" applyBorder="1" applyAlignment="1">
      <alignment horizontal="center" vertical="center"/>
    </xf>
    <xf numFmtId="0" fontId="29" fillId="0" borderId="1" xfId="0" applyFont="1" applyBorder="1" applyAlignment="1">
      <alignment horizontal="center" vertical="center" wrapText="1"/>
    </xf>
    <xf numFmtId="0" fontId="26" fillId="2" borderId="0" xfId="0" applyFont="1" applyFill="1" applyAlignment="1">
      <alignment horizontal="center" vertical="center" wrapText="1"/>
    </xf>
    <xf numFmtId="0" fontId="30" fillId="2" borderId="2" xfId="0" applyFont="1" applyFill="1" applyBorder="1" applyAlignment="1">
      <alignment horizontal="center" vertical="center" wrapText="1"/>
    </xf>
    <xf numFmtId="167" fontId="26" fillId="25" borderId="2" xfId="0" applyNumberFormat="1" applyFont="1" applyFill="1" applyBorder="1" applyAlignment="1">
      <alignment horizontal="center" vertical="center"/>
    </xf>
    <xf numFmtId="167" fontId="88" fillId="2" borderId="2" xfId="0" applyNumberFormat="1" applyFont="1" applyFill="1" applyBorder="1" applyAlignment="1">
      <alignment horizontal="center" vertical="center" wrapText="1"/>
    </xf>
    <xf numFmtId="43" fontId="19" fillId="11" borderId="1" xfId="21" applyFont="1" applyFill="1" applyBorder="1" applyAlignment="1">
      <alignment horizontal="center" vertical="center"/>
    </xf>
    <xf numFmtId="167" fontId="26" fillId="25" borderId="1" xfId="0" applyNumberFormat="1" applyFont="1" applyFill="1" applyBorder="1" applyAlignment="1">
      <alignment horizontal="center" vertical="center"/>
    </xf>
    <xf numFmtId="0" fontId="30" fillId="2" borderId="4" xfId="0" applyFont="1" applyFill="1" applyBorder="1" applyAlignment="1">
      <alignment horizontal="center" vertical="center" wrapText="1"/>
    </xf>
    <xf numFmtId="167" fontId="26" fillId="25" borderId="4" xfId="0" applyNumberFormat="1" applyFont="1" applyFill="1" applyBorder="1" applyAlignment="1">
      <alignment horizontal="center" vertical="center" wrapText="1"/>
    </xf>
    <xf numFmtId="167" fontId="88" fillId="2" borderId="5" xfId="0" applyNumberFormat="1" applyFont="1" applyFill="1" applyBorder="1" applyAlignment="1">
      <alignment horizontal="center" vertical="center" wrapText="1"/>
    </xf>
    <xf numFmtId="167" fontId="26" fillId="25" borderId="1" xfId="0" applyNumberFormat="1" applyFont="1" applyFill="1" applyBorder="1" applyAlignment="1">
      <alignment horizontal="center" vertical="center" wrapText="1"/>
    </xf>
    <xf numFmtId="167" fontId="88" fillId="2" borderId="1" xfId="0" applyNumberFormat="1" applyFont="1" applyFill="1" applyBorder="1" applyAlignment="1">
      <alignment horizontal="center" vertical="center" wrapText="1"/>
    </xf>
    <xf numFmtId="0" fontId="0" fillId="0" borderId="1" xfId="0" applyFont="1" applyBorder="1"/>
    <xf numFmtId="0" fontId="0" fillId="0" borderId="0" xfId="0" applyFont="1" applyAlignment="1">
      <alignment wrapText="1"/>
    </xf>
    <xf numFmtId="0" fontId="26" fillId="0" borderId="1" xfId="8" applyFont="1" applyBorder="1" applyAlignment="1" applyProtection="1">
      <alignment horizontal="center" vertical="center" wrapText="1"/>
      <protection locked="0"/>
    </xf>
    <xf numFmtId="0" fontId="29" fillId="14" borderId="17" xfId="0" applyFont="1" applyFill="1" applyBorder="1" applyAlignment="1">
      <alignment horizontal="center" vertical="center" wrapText="1"/>
    </xf>
    <xf numFmtId="0" fontId="26" fillId="9" borderId="3" xfId="0" applyFont="1" applyFill="1" applyBorder="1" applyAlignment="1">
      <alignment horizontal="center" vertical="center" wrapText="1"/>
    </xf>
    <xf numFmtId="0" fontId="32" fillId="0" borderId="1" xfId="0" applyFont="1" applyBorder="1" applyAlignment="1">
      <alignment horizontal="center" vertical="center" wrapText="1"/>
    </xf>
    <xf numFmtId="0" fontId="29" fillId="23" borderId="0" xfId="0" applyFont="1" applyFill="1" applyAlignment="1">
      <alignment wrapText="1"/>
    </xf>
    <xf numFmtId="0" fontId="29" fillId="14" borderId="17" xfId="0" applyFont="1" applyFill="1" applyBorder="1" applyAlignment="1">
      <alignment horizontal="center" vertical="center" wrapText="1"/>
    </xf>
    <xf numFmtId="0" fontId="22" fillId="0" borderId="0" xfId="0" applyFont="1" applyAlignment="1">
      <alignment horizontal="center" wrapText="1"/>
    </xf>
    <xf numFmtId="0" fontId="5" fillId="23" borderId="3" xfId="0" applyFont="1" applyFill="1" applyBorder="1" applyAlignment="1">
      <alignment horizontal="center" vertical="center" wrapText="1"/>
    </xf>
    <xf numFmtId="164" fontId="22" fillId="0" borderId="1" xfId="0" applyNumberFormat="1" applyFont="1" applyBorder="1"/>
    <xf numFmtId="0" fontId="6" fillId="0" borderId="0" xfId="0" applyFont="1" applyAlignment="1">
      <alignment horizontal="center" vertical="center"/>
    </xf>
    <xf numFmtId="0" fontId="8" fillId="0" borderId="0" xfId="0" applyFont="1" applyAlignment="1">
      <alignment horizontal="center" vertical="center"/>
    </xf>
    <xf numFmtId="0" fontId="6" fillId="2" borderId="0" xfId="0" applyFont="1" applyFill="1" applyAlignment="1">
      <alignment horizontal="center" vertical="center"/>
    </xf>
    <xf numFmtId="1" fontId="5" fillId="0" borderId="0" xfId="0" applyNumberFormat="1" applyFont="1" applyAlignment="1">
      <alignment horizontal="center" vertical="center"/>
    </xf>
    <xf numFmtId="0" fontId="7" fillId="0" borderId="0" xfId="0" applyFont="1" applyAlignment="1">
      <alignment horizontal="center" vertical="center"/>
    </xf>
    <xf numFmtId="167" fontId="42" fillId="10" borderId="1" xfId="0" applyNumberFormat="1" applyFont="1" applyFill="1" applyBorder="1" applyAlignment="1">
      <alignment horizontal="center" vertical="center" wrapText="1"/>
    </xf>
    <xf numFmtId="0" fontId="42" fillId="10" borderId="1" xfId="0" applyFont="1" applyFill="1" applyBorder="1" applyAlignment="1">
      <alignment horizontal="center" vertical="center" wrapText="1"/>
    </xf>
    <xf numFmtId="1" fontId="5" fillId="0" borderId="1" xfId="0" applyNumberFormat="1" applyFont="1" applyBorder="1" applyAlignment="1">
      <alignment horizontal="center" vertical="center"/>
    </xf>
    <xf numFmtId="43" fontId="5" fillId="0" borderId="0" xfId="21" applyFont="1" applyAlignment="1">
      <alignment horizontal="center" vertical="center"/>
    </xf>
    <xf numFmtId="0" fontId="26" fillId="23" borderId="1" xfId="0" applyFont="1" applyFill="1" applyBorder="1"/>
    <xf numFmtId="0" fontId="29" fillId="14" borderId="1" xfId="0" applyFont="1" applyFill="1" applyBorder="1" applyAlignment="1">
      <alignment horizontal="center" vertical="center"/>
    </xf>
    <xf numFmtId="0" fontId="26" fillId="23" borderId="1" xfId="0" applyFont="1" applyFill="1" applyBorder="1" applyAlignment="1">
      <alignment vertical="center"/>
    </xf>
    <xf numFmtId="167" fontId="26" fillId="2" borderId="1" xfId="0" applyNumberFormat="1" applyFont="1" applyFill="1" applyBorder="1" applyAlignment="1">
      <alignment horizontal="center" vertical="center"/>
    </xf>
    <xf numFmtId="0" fontId="26" fillId="23" borderId="3" xfId="0" applyFont="1" applyFill="1" applyBorder="1" applyAlignment="1">
      <alignment horizontal="center" vertical="center" wrapText="1"/>
    </xf>
    <xf numFmtId="0" fontId="29" fillId="5" borderId="1" xfId="0" applyFont="1" applyFill="1" applyBorder="1" applyAlignment="1">
      <alignment horizontal="center" vertical="center" wrapText="1"/>
    </xf>
    <xf numFmtId="43" fontId="32" fillId="0" borderId="1" xfId="21" applyFont="1" applyBorder="1" applyAlignment="1">
      <alignment horizontal="center" vertical="center" wrapText="1"/>
    </xf>
    <xf numFmtId="43" fontId="0" fillId="0" borderId="1" xfId="21" applyFont="1" applyBorder="1"/>
    <xf numFmtId="0" fontId="29" fillId="31" borderId="5" xfId="0" applyFont="1" applyFill="1" applyBorder="1" applyAlignment="1">
      <alignment vertical="center"/>
    </xf>
    <xf numFmtId="0" fontId="29" fillId="31" borderId="2" xfId="0" applyFont="1" applyFill="1" applyBorder="1" applyAlignment="1">
      <alignment vertical="center"/>
    </xf>
    <xf numFmtId="0" fontId="21" fillId="5" borderId="3"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xf>
    <xf numFmtId="43" fontId="8" fillId="0" borderId="1" xfId="21" applyFont="1" applyBorder="1" applyAlignment="1">
      <alignment horizontal="center" vertical="center"/>
    </xf>
    <xf numFmtId="0" fontId="8" fillId="0" borderId="1" xfId="0" applyFont="1" applyBorder="1" applyAlignment="1">
      <alignment horizontal="center" vertical="center" wrapText="1"/>
    </xf>
    <xf numFmtId="164" fontId="21" fillId="5" borderId="3" xfId="0" applyNumberFormat="1" applyFont="1" applyFill="1" applyBorder="1" applyAlignment="1">
      <alignment horizontal="center" vertical="center"/>
    </xf>
    <xf numFmtId="175" fontId="29" fillId="24" borderId="3" xfId="21" applyNumberFormat="1" applyFont="1" applyFill="1" applyBorder="1" applyAlignment="1">
      <alignment horizontal="center" vertical="center"/>
    </xf>
    <xf numFmtId="175" fontId="26" fillId="0" borderId="3" xfId="21" applyNumberFormat="1" applyFont="1" applyBorder="1" applyAlignment="1">
      <alignment horizontal="center" vertical="center"/>
    </xf>
    <xf numFmtId="175" fontId="5" fillId="0" borderId="3" xfId="21" applyNumberFormat="1" applyFont="1" applyBorder="1" applyAlignment="1">
      <alignment horizontal="center" vertical="center"/>
    </xf>
    <xf numFmtId="175" fontId="6" fillId="24" borderId="3" xfId="21" applyNumberFormat="1" applyFont="1" applyFill="1" applyBorder="1" applyAlignment="1">
      <alignment horizontal="center" vertical="center"/>
    </xf>
    <xf numFmtId="0" fontId="29" fillId="23" borderId="1" xfId="0" applyFont="1" applyFill="1" applyBorder="1" applyAlignment="1">
      <alignment vertical="center"/>
    </xf>
    <xf numFmtId="0" fontId="29" fillId="25" borderId="1" xfId="0" applyFont="1" applyFill="1" applyBorder="1" applyAlignment="1">
      <alignment horizontal="center" vertical="center"/>
    </xf>
    <xf numFmtId="167" fontId="26" fillId="0" borderId="1" xfId="0" applyNumberFormat="1" applyFont="1" applyBorder="1" applyAlignment="1">
      <alignment horizontal="center" vertical="center"/>
    </xf>
    <xf numFmtId="0" fontId="29" fillId="33" borderId="1" xfId="0" applyFont="1" applyFill="1" applyBorder="1" applyAlignment="1">
      <alignment horizontal="center" vertical="center"/>
    </xf>
    <xf numFmtId="43" fontId="20" fillId="0" borderId="1" xfId="21" applyFont="1" applyBorder="1" applyAlignment="1">
      <alignment horizontal="center" vertical="center"/>
    </xf>
    <xf numFmtId="164" fontId="20" fillId="16" borderId="1" xfId="0" applyNumberFormat="1" applyFont="1" applyFill="1" applyBorder="1" applyAlignment="1">
      <alignment horizontal="center" vertical="center"/>
    </xf>
    <xf numFmtId="164" fontId="20" fillId="17" borderId="1" xfId="0" applyNumberFormat="1" applyFont="1" applyFill="1" applyBorder="1" applyAlignment="1">
      <alignment horizontal="center" vertical="center"/>
    </xf>
    <xf numFmtId="164" fontId="20" fillId="19" borderId="1" xfId="0" applyNumberFormat="1" applyFont="1" applyFill="1" applyBorder="1" applyAlignment="1">
      <alignment horizontal="center" vertical="center"/>
    </xf>
    <xf numFmtId="164" fontId="20" fillId="15" borderId="1" xfId="0" applyNumberFormat="1" applyFont="1" applyFill="1" applyBorder="1" applyAlignment="1">
      <alignment horizontal="center" vertical="center"/>
    </xf>
    <xf numFmtId="164" fontId="20" fillId="22" borderId="1" xfId="0" applyNumberFormat="1" applyFont="1" applyFill="1" applyBorder="1" applyAlignment="1">
      <alignment horizontal="center" vertical="center"/>
    </xf>
    <xf numFmtId="164" fontId="18" fillId="24" borderId="1" xfId="0" applyNumberFormat="1" applyFont="1" applyFill="1" applyBorder="1" applyAlignment="1">
      <alignment horizontal="center" vertical="center"/>
    </xf>
    <xf numFmtId="164" fontId="20" fillId="0" borderId="1" xfId="0" applyNumberFormat="1" applyFont="1" applyBorder="1" applyAlignment="1">
      <alignment horizontal="center" vertical="center"/>
    </xf>
    <xf numFmtId="43" fontId="18" fillId="0" borderId="0" xfId="21" applyFont="1" applyAlignment="1">
      <alignment horizontal="center"/>
    </xf>
    <xf numFmtId="164" fontId="18" fillId="24" borderId="0" xfId="0" applyNumberFormat="1" applyFont="1" applyFill="1" applyAlignment="1">
      <alignment horizontal="center"/>
    </xf>
    <xf numFmtId="3" fontId="0" fillId="0" borderId="1" xfId="0" applyNumberFormat="1" applyBorder="1" applyAlignment="1">
      <alignment horizontal="center"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43" fontId="0" fillId="0" borderId="1" xfId="21" applyFont="1" applyBorder="1" applyAlignment="1">
      <alignment horizontal="center" vertical="center"/>
    </xf>
    <xf numFmtId="43" fontId="0" fillId="0" borderId="1" xfId="21" applyFont="1" applyBorder="1" applyAlignment="1">
      <alignment horizontal="center" vertical="center" wrapText="1"/>
    </xf>
    <xf numFmtId="167" fontId="89" fillId="10" borderId="1" xfId="0" applyNumberFormat="1" applyFont="1" applyFill="1" applyBorder="1" applyAlignment="1">
      <alignment horizontal="center" vertical="center" wrapText="1"/>
    </xf>
    <xf numFmtId="43" fontId="91" fillId="5" borderId="0" xfId="21" applyFont="1" applyFill="1"/>
    <xf numFmtId="175" fontId="18" fillId="5" borderId="1" xfId="21" applyNumberFormat="1" applyFont="1" applyFill="1" applyBorder="1" applyAlignment="1">
      <alignment horizontal="center" vertical="center"/>
    </xf>
    <xf numFmtId="164" fontId="18" fillId="5" borderId="1" xfId="0" applyNumberFormat="1" applyFont="1" applyFill="1" applyBorder="1" applyAlignment="1">
      <alignment horizontal="center" vertical="center"/>
    </xf>
    <xf numFmtId="175" fontId="18" fillId="5" borderId="1" xfId="0" applyNumberFormat="1" applyFont="1" applyFill="1" applyBorder="1" applyAlignment="1">
      <alignment horizontal="center" vertical="center"/>
    </xf>
    <xf numFmtId="0" fontId="20" fillId="0" borderId="1" xfId="0" applyFont="1" applyBorder="1" applyAlignment="1">
      <alignment horizontal="center"/>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0" fillId="2" borderId="1" xfId="0" applyFont="1" applyFill="1" applyBorder="1" applyAlignment="1">
      <alignment horizontal="center" vertical="center"/>
    </xf>
    <xf numFmtId="164" fontId="20" fillId="18" borderId="1" xfId="0" applyNumberFormat="1" applyFont="1" applyFill="1" applyBorder="1" applyAlignment="1">
      <alignment horizontal="center" vertical="center"/>
    </xf>
    <xf numFmtId="43" fontId="20" fillId="5" borderId="1" xfId="21" applyFont="1" applyFill="1" applyBorder="1" applyAlignment="1">
      <alignment horizontal="center" vertical="center"/>
    </xf>
    <xf numFmtId="164" fontId="20" fillId="5" borderId="1" xfId="0" applyNumberFormat="1" applyFont="1" applyFill="1" applyBorder="1" applyAlignment="1">
      <alignment horizontal="center" vertical="center"/>
    </xf>
    <xf numFmtId="0" fontId="20"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43" fontId="24" fillId="11" borderId="1" xfId="21" applyFont="1" applyFill="1" applyBorder="1" applyAlignment="1">
      <alignment horizontal="center" vertical="center"/>
    </xf>
    <xf numFmtId="170" fontId="20" fillId="2" borderId="1" xfId="0" applyNumberFormat="1" applyFont="1" applyFill="1" applyBorder="1" applyAlignment="1">
      <alignment horizontal="center" vertical="center" wrapText="1"/>
    </xf>
    <xf numFmtId="173" fontId="20" fillId="2" borderId="1" xfId="0" applyNumberFormat="1" applyFont="1" applyFill="1" applyBorder="1" applyAlignment="1">
      <alignment horizontal="center" vertical="center" wrapText="1"/>
    </xf>
    <xf numFmtId="174" fontId="23" fillId="2" borderId="1" xfId="0" applyNumberFormat="1" applyFont="1" applyFill="1" applyBorder="1" applyAlignment="1">
      <alignment horizontal="center" vertical="center" wrapText="1"/>
    </xf>
    <xf numFmtId="43" fontId="24" fillId="0" borderId="1" xfId="21" applyFont="1" applyBorder="1" applyAlignment="1">
      <alignment horizontal="center" vertical="center"/>
    </xf>
    <xf numFmtId="43" fontId="24" fillId="5" borderId="1" xfId="21" applyFont="1" applyFill="1" applyBorder="1" applyAlignment="1">
      <alignment horizontal="center" vertical="center"/>
    </xf>
    <xf numFmtId="167" fontId="20" fillId="25" borderId="1" xfId="0" applyNumberFormat="1" applyFont="1" applyFill="1" applyBorder="1" applyAlignment="1">
      <alignment horizontal="center" vertical="center" wrapText="1"/>
    </xf>
    <xf numFmtId="0" fontId="20" fillId="0" borderId="1" xfId="0" applyFont="1" applyBorder="1" applyAlignment="1">
      <alignment horizontal="center" vertical="center"/>
    </xf>
    <xf numFmtId="0" fontId="23" fillId="2" borderId="1" xfId="6" applyFont="1" applyFill="1" applyBorder="1" applyAlignment="1" applyProtection="1">
      <alignment horizontal="center" vertical="center" wrapText="1"/>
    </xf>
    <xf numFmtId="0" fontId="24" fillId="2" borderId="1" xfId="0" applyFont="1" applyFill="1" applyBorder="1" applyAlignment="1">
      <alignment horizontal="center" vertical="center" wrapText="1"/>
    </xf>
    <xf numFmtId="2" fontId="23" fillId="0" borderId="1" xfId="1" applyNumberFormat="1" applyFont="1" applyBorder="1" applyAlignment="1">
      <alignment horizontal="center" wrapText="1"/>
    </xf>
    <xf numFmtId="167" fontId="20"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0" fontId="18" fillId="14" borderId="1" xfId="0" applyFont="1" applyFill="1" applyBorder="1" applyAlignment="1">
      <alignment horizontal="center" vertical="center"/>
    </xf>
    <xf numFmtId="0" fontId="18" fillId="5" borderId="1" xfId="0" applyFont="1" applyFill="1" applyBorder="1" applyAlignment="1">
      <alignment horizontal="center" vertical="center"/>
    </xf>
    <xf numFmtId="0" fontId="0" fillId="0" borderId="1" xfId="0" applyFill="1" applyBorder="1" applyAlignment="1">
      <alignment horizontal="center" vertical="center" wrapText="1"/>
    </xf>
    <xf numFmtId="43" fontId="0" fillId="0" borderId="1" xfId="21" applyFont="1" applyFill="1" applyBorder="1" applyAlignment="1">
      <alignment horizontal="center" vertical="center" wrapText="1"/>
    </xf>
    <xf numFmtId="0" fontId="0" fillId="2" borderId="1" xfId="0" applyFill="1" applyBorder="1" applyAlignment="1">
      <alignment horizontal="center" vertical="center" wrapText="1"/>
    </xf>
    <xf numFmtId="0" fontId="29" fillId="23" borderId="17" xfId="0" applyFont="1" applyFill="1" applyBorder="1" applyAlignment="1">
      <alignment horizontal="center" vertical="center"/>
    </xf>
    <xf numFmtId="0" fontId="26" fillId="2" borderId="1" xfId="0" applyFont="1" applyFill="1" applyBorder="1" applyAlignment="1">
      <alignment horizontal="center" vertical="center" wrapText="1"/>
    </xf>
    <xf numFmtId="0" fontId="29" fillId="14" borderId="17" xfId="0" applyFont="1" applyFill="1" applyBorder="1" applyAlignment="1">
      <alignment horizontal="center" vertical="center" wrapText="1"/>
    </xf>
    <xf numFmtId="0" fontId="0" fillId="0" borderId="0" xfId="0" applyAlignment="1">
      <alignment horizontal="center" vertical="center" wrapText="1"/>
    </xf>
    <xf numFmtId="0" fontId="29" fillId="31" borderId="5" xfId="0" applyFont="1" applyFill="1" applyBorder="1" applyAlignment="1">
      <alignment horizontal="center" vertical="center"/>
    </xf>
    <xf numFmtId="43" fontId="6" fillId="2" borderId="1" xfId="21" applyFont="1" applyFill="1" applyBorder="1" applyAlignment="1">
      <alignment horizontal="center" vertical="center"/>
    </xf>
    <xf numFmtId="0" fontId="5" fillId="0" borderId="1" xfId="0" applyFont="1" applyBorder="1" applyAlignment="1">
      <alignment horizontal="center" wrapText="1"/>
    </xf>
    <xf numFmtId="167" fontId="26" fillId="23" borderId="1" xfId="0" applyNumberFormat="1" applyFont="1" applyFill="1" applyBorder="1" applyAlignment="1">
      <alignment horizontal="center" vertical="center"/>
    </xf>
    <xf numFmtId="0" fontId="26" fillId="34" borderId="3" xfId="0" applyFont="1" applyFill="1" applyBorder="1" applyAlignment="1">
      <alignment horizontal="center" vertical="center" wrapText="1"/>
    </xf>
    <xf numFmtId="164" fontId="5" fillId="19" borderId="3" xfId="0" applyNumberFormat="1" applyFont="1" applyFill="1" applyBorder="1" applyAlignment="1">
      <alignment horizontal="center" vertical="center"/>
    </xf>
    <xf numFmtId="0" fontId="76" fillId="30" borderId="1" xfId="0" applyFont="1" applyFill="1" applyBorder="1" applyAlignment="1">
      <alignment vertical="center"/>
    </xf>
    <xf numFmtId="1" fontId="6" fillId="0" borderId="1" xfId="0" applyNumberFormat="1" applyFont="1" applyBorder="1" applyAlignment="1">
      <alignment horizontal="center" vertical="center" wrapText="1"/>
    </xf>
    <xf numFmtId="43" fontId="6" fillId="0" borderId="1" xfId="21" applyFont="1" applyBorder="1" applyAlignment="1">
      <alignment horizontal="center" vertical="center" wrapText="1"/>
    </xf>
    <xf numFmtId="43" fontId="5" fillId="0" borderId="1" xfId="21" applyFont="1" applyBorder="1" applyAlignment="1">
      <alignment horizontal="center" vertical="center" wrapText="1"/>
    </xf>
    <xf numFmtId="0" fontId="29" fillId="0" borderId="1" xfId="0" applyFont="1" applyBorder="1" applyAlignment="1">
      <alignment horizontal="center" vertical="center"/>
    </xf>
    <xf numFmtId="167" fontId="29" fillId="0" borderId="1" xfId="0" applyNumberFormat="1" applyFont="1" applyBorder="1" applyAlignment="1">
      <alignment horizontal="center" vertical="center"/>
    </xf>
    <xf numFmtId="0" fontId="29" fillId="0" borderId="1" xfId="0" applyFont="1" applyBorder="1" applyAlignment="1">
      <alignment wrapText="1"/>
    </xf>
    <xf numFmtId="43" fontId="29" fillId="0" borderId="1" xfId="21" applyFont="1" applyBorder="1" applyAlignment="1">
      <alignment horizontal="center" vertical="center" wrapText="1"/>
    </xf>
    <xf numFmtId="43" fontId="29" fillId="0" borderId="1" xfId="21" applyFont="1" applyBorder="1" applyAlignment="1">
      <alignment wrapText="1"/>
    </xf>
    <xf numFmtId="0" fontId="29" fillId="0" borderId="0" xfId="0" applyFont="1" applyAlignment="1">
      <alignment horizontal="center" vertical="center" wrapText="1"/>
    </xf>
    <xf numFmtId="167" fontId="29" fillId="23" borderId="1" xfId="0" applyNumberFormat="1" applyFont="1" applyFill="1" applyBorder="1" applyAlignment="1">
      <alignment horizontal="center" vertical="center" wrapText="1"/>
    </xf>
    <xf numFmtId="167" fontId="29" fillId="2" borderId="1" xfId="0" applyNumberFormat="1" applyFont="1" applyFill="1" applyBorder="1" applyAlignment="1">
      <alignment horizontal="center" vertical="center" wrapText="1"/>
    </xf>
    <xf numFmtId="175" fontId="29" fillId="0" borderId="1" xfId="21" applyNumberFormat="1" applyFont="1" applyBorder="1" applyAlignment="1">
      <alignment horizontal="center" vertical="center" wrapText="1"/>
    </xf>
    <xf numFmtId="0" fontId="29" fillId="34" borderId="3" xfId="0" applyFont="1" applyFill="1" applyBorder="1" applyAlignment="1">
      <alignment horizontal="center" vertical="center" wrapText="1"/>
    </xf>
    <xf numFmtId="0" fontId="29" fillId="34" borderId="1" xfId="0" applyFont="1" applyFill="1" applyBorder="1" applyAlignment="1">
      <alignment horizontal="center" vertical="center"/>
    </xf>
    <xf numFmtId="0" fontId="92" fillId="0" borderId="0" xfId="0" applyFont="1" applyAlignment="1">
      <alignment horizontal="center" wrapText="1"/>
    </xf>
    <xf numFmtId="0" fontId="38" fillId="2" borderId="1" xfId="0" applyFont="1" applyFill="1" applyBorder="1" applyAlignment="1">
      <alignment horizontal="center"/>
    </xf>
    <xf numFmtId="164" fontId="38" fillId="0" borderId="1" xfId="0" applyNumberFormat="1" applyFont="1" applyBorder="1" applyAlignment="1">
      <alignment horizontal="center"/>
    </xf>
    <xf numFmtId="0" fontId="92" fillId="0" borderId="1" xfId="0" applyFont="1" applyBorder="1" applyAlignment="1">
      <alignment horizontal="center" wrapText="1"/>
    </xf>
    <xf numFmtId="0" fontId="38" fillId="0" borderId="1" xfId="0" applyFont="1" applyBorder="1" applyAlignment="1">
      <alignment horizontal="center" vertical="center"/>
    </xf>
    <xf numFmtId="0" fontId="38" fillId="0" borderId="0" xfId="0" applyFont="1" applyAlignment="1">
      <alignment horizontal="center" vertical="center"/>
    </xf>
    <xf numFmtId="43" fontId="20" fillId="18" borderId="1" xfId="21" applyFont="1" applyFill="1" applyBorder="1" applyAlignment="1">
      <alignment horizontal="center" vertical="center" wrapText="1"/>
    </xf>
    <xf numFmtId="43" fontId="38" fillId="0" borderId="1" xfId="21" applyFont="1" applyBorder="1" applyAlignment="1">
      <alignment horizontal="center"/>
    </xf>
    <xf numFmtId="43" fontId="38" fillId="2" borderId="1" xfId="21" applyFont="1" applyFill="1" applyBorder="1" applyAlignment="1">
      <alignment horizontal="center"/>
    </xf>
    <xf numFmtId="43" fontId="38" fillId="0" borderId="0" xfId="21" applyFont="1" applyAlignment="1">
      <alignment horizontal="center"/>
    </xf>
    <xf numFmtId="43" fontId="38" fillId="0" borderId="1" xfId="21" applyFont="1" applyBorder="1" applyAlignment="1">
      <alignment horizontal="center" vertical="center"/>
    </xf>
    <xf numFmtId="0" fontId="70" fillId="2" borderId="3" xfId="0" applyFont="1" applyFill="1" applyBorder="1" applyAlignment="1">
      <alignment horizontal="center" vertical="center" wrapText="1"/>
    </xf>
    <xf numFmtId="0" fontId="70" fillId="2" borderId="7" xfId="0" applyFont="1" applyFill="1" applyBorder="1" applyAlignment="1">
      <alignment horizontal="center" vertical="center" wrapText="1"/>
    </xf>
    <xf numFmtId="0" fontId="52" fillId="2" borderId="3" xfId="0" applyFont="1" applyFill="1" applyBorder="1" applyAlignment="1">
      <alignment horizontal="center" vertical="center" wrapText="1"/>
    </xf>
    <xf numFmtId="0" fontId="52" fillId="2" borderId="7" xfId="0" applyFont="1" applyFill="1" applyBorder="1" applyAlignment="1">
      <alignment horizontal="center" vertical="center" wrapText="1"/>
    </xf>
    <xf numFmtId="0" fontId="52" fillId="2" borderId="0" xfId="0" applyFont="1" applyFill="1" applyAlignment="1">
      <alignment horizontal="center" vertical="top" wrapText="1"/>
    </xf>
    <xf numFmtId="0" fontId="70" fillId="2" borderId="6" xfId="0" applyFont="1" applyFill="1" applyBorder="1" applyAlignment="1">
      <alignment horizontal="center" vertical="center" wrapText="1"/>
    </xf>
    <xf numFmtId="0" fontId="70" fillId="2" borderId="4" xfId="0" applyFont="1" applyFill="1" applyBorder="1" applyAlignment="1">
      <alignment horizontal="center" vertical="center" wrapText="1"/>
    </xf>
    <xf numFmtId="0" fontId="70" fillId="2" borderId="2" xfId="0" applyFont="1" applyFill="1" applyBorder="1" applyAlignment="1">
      <alignment horizontal="center" vertical="center" wrapText="1"/>
    </xf>
    <xf numFmtId="0" fontId="29" fillId="23" borderId="17" xfId="0" applyFont="1" applyFill="1" applyBorder="1" applyAlignment="1">
      <alignment horizontal="center" vertical="center"/>
    </xf>
    <xf numFmtId="0" fontId="29" fillId="23" borderId="9" xfId="0" applyFont="1" applyFill="1" applyBorder="1" applyAlignment="1">
      <alignment horizontal="center" vertical="center"/>
    </xf>
    <xf numFmtId="0" fontId="29" fillId="23" borderId="18"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1" borderId="16"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29" fillId="23" borderId="3" xfId="0" applyFont="1" applyFill="1" applyBorder="1" applyAlignment="1">
      <alignment horizontal="center" vertical="center"/>
    </xf>
    <xf numFmtId="0" fontId="29" fillId="23" borderId="6" xfId="0" applyFont="1" applyFill="1" applyBorder="1" applyAlignment="1">
      <alignment horizontal="center" vertical="center"/>
    </xf>
    <xf numFmtId="0" fontId="29" fillId="23" borderId="7" xfId="0" applyFont="1" applyFill="1" applyBorder="1" applyAlignment="1">
      <alignment horizontal="center" vertical="center"/>
    </xf>
    <xf numFmtId="0" fontId="48" fillId="13" borderId="6" xfId="0" applyFont="1" applyFill="1" applyBorder="1" applyAlignment="1">
      <alignment horizontal="center"/>
    </xf>
    <xf numFmtId="0" fontId="27" fillId="23" borderId="1" xfId="0" applyFont="1" applyFill="1" applyBorder="1" applyAlignment="1">
      <alignment horizontal="center" vertical="center" wrapText="1"/>
    </xf>
    <xf numFmtId="0" fontId="27" fillId="23" borderId="3" xfId="0" applyFont="1" applyFill="1" applyBorder="1" applyAlignment="1">
      <alignment horizontal="center" vertical="center"/>
    </xf>
    <xf numFmtId="0" fontId="27" fillId="23" borderId="6" xfId="0" applyFont="1" applyFill="1" applyBorder="1" applyAlignment="1">
      <alignment horizontal="center" vertical="center"/>
    </xf>
    <xf numFmtId="0" fontId="27" fillId="23" borderId="7" xfId="0" applyFont="1" applyFill="1" applyBorder="1" applyAlignment="1">
      <alignment horizontal="center" vertical="center"/>
    </xf>
    <xf numFmtId="0" fontId="27" fillId="23" borderId="3" xfId="0" applyFont="1" applyFill="1" applyBorder="1" applyAlignment="1">
      <alignment horizontal="center" vertical="center" wrapText="1"/>
    </xf>
    <xf numFmtId="0" fontId="27" fillId="23" borderId="6" xfId="0" applyFont="1" applyFill="1" applyBorder="1" applyAlignment="1">
      <alignment horizontal="center" vertical="center" wrapText="1"/>
    </xf>
    <xf numFmtId="0" fontId="27" fillId="23" borderId="7" xfId="0" applyFont="1" applyFill="1" applyBorder="1" applyAlignment="1">
      <alignment horizontal="center" vertical="center" wrapText="1"/>
    </xf>
    <xf numFmtId="0" fontId="28" fillId="23" borderId="3" xfId="0" applyFont="1" applyFill="1" applyBorder="1" applyAlignment="1">
      <alignment horizontal="center" vertical="center" wrapText="1"/>
    </xf>
    <xf numFmtId="0" fontId="28" fillId="23" borderId="6" xfId="0" applyFont="1" applyFill="1" applyBorder="1" applyAlignment="1">
      <alignment horizontal="center" vertical="center" wrapText="1"/>
    </xf>
    <xf numFmtId="0" fontId="28" fillId="23" borderId="7" xfId="0" applyFont="1" applyFill="1" applyBorder="1" applyAlignment="1">
      <alignment horizontal="center" vertical="center" wrapText="1"/>
    </xf>
    <xf numFmtId="0" fontId="29" fillId="5" borderId="17" xfId="0" applyFont="1" applyFill="1" applyBorder="1" applyAlignment="1">
      <alignment horizontal="center" vertical="center"/>
    </xf>
    <xf numFmtId="0" fontId="29" fillId="5" borderId="9" xfId="0" applyFont="1" applyFill="1" applyBorder="1" applyAlignment="1">
      <alignment horizontal="center" vertical="center"/>
    </xf>
    <xf numFmtId="0" fontId="29" fillId="5" borderId="18" xfId="0" applyFont="1" applyFill="1" applyBorder="1" applyAlignment="1">
      <alignment horizontal="center" vertical="center"/>
    </xf>
    <xf numFmtId="0" fontId="6" fillId="23" borderId="3" xfId="0" applyFont="1" applyFill="1" applyBorder="1" applyAlignment="1">
      <alignment horizontal="center"/>
    </xf>
    <xf numFmtId="0" fontId="6" fillId="23" borderId="6" xfId="0" applyFont="1" applyFill="1" applyBorder="1" applyAlignment="1">
      <alignment horizontal="center"/>
    </xf>
    <xf numFmtId="0" fontId="6" fillId="23" borderId="7" xfId="0" applyFont="1" applyFill="1" applyBorder="1" applyAlignment="1">
      <alignment horizontal="center"/>
    </xf>
    <xf numFmtId="0" fontId="6" fillId="23" borderId="3" xfId="0" applyFont="1" applyFill="1" applyBorder="1" applyAlignment="1">
      <alignment horizontal="center" vertical="center" wrapText="1"/>
    </xf>
    <xf numFmtId="0" fontId="6" fillId="23" borderId="6" xfId="0" applyFont="1" applyFill="1" applyBorder="1" applyAlignment="1">
      <alignment horizontal="center" vertical="center" wrapText="1"/>
    </xf>
    <xf numFmtId="0" fontId="6" fillId="23" borderId="7" xfId="0" applyFont="1" applyFill="1" applyBorder="1" applyAlignment="1">
      <alignment horizontal="center" vertical="center" wrapText="1"/>
    </xf>
    <xf numFmtId="0" fontId="6" fillId="23" borderId="3" xfId="0" applyFont="1" applyFill="1" applyBorder="1" applyAlignment="1">
      <alignment horizontal="center" wrapText="1"/>
    </xf>
    <xf numFmtId="0" fontId="6" fillId="23" borderId="6" xfId="0" applyFont="1" applyFill="1" applyBorder="1" applyAlignment="1">
      <alignment horizontal="center" wrapText="1"/>
    </xf>
    <xf numFmtId="0" fontId="6" fillId="23" borderId="7" xfId="0" applyFont="1" applyFill="1" applyBorder="1" applyAlignment="1">
      <alignment horizontal="center" wrapText="1"/>
    </xf>
    <xf numFmtId="0" fontId="27" fillId="23" borderId="1" xfId="1" applyFont="1" applyFill="1" applyBorder="1" applyAlignment="1">
      <alignment horizontal="center" vertical="center" wrapText="1"/>
    </xf>
    <xf numFmtId="0" fontId="6" fillId="23"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47" fillId="14" borderId="6" xfId="0" applyFont="1" applyFill="1" applyBorder="1" applyAlignment="1">
      <alignment horizontal="center"/>
    </xf>
    <xf numFmtId="0" fontId="6" fillId="23" borderId="1" xfId="0" applyFont="1" applyFill="1" applyBorder="1" applyAlignment="1">
      <alignment horizontal="center" vertical="center"/>
    </xf>
    <xf numFmtId="0" fontId="40" fillId="2" borderId="0" xfId="0" applyFont="1" applyFill="1" applyBorder="1" applyAlignment="1">
      <alignment horizontal="center" vertical="center" wrapText="1"/>
    </xf>
    <xf numFmtId="0" fontId="40" fillId="2" borderId="11" xfId="0" applyFont="1" applyFill="1" applyBorder="1" applyAlignment="1">
      <alignment horizontal="center" vertical="center" wrapText="1"/>
    </xf>
    <xf numFmtId="167" fontId="42" fillId="12" borderId="3" xfId="0" applyNumberFormat="1" applyFont="1" applyFill="1" applyBorder="1" applyAlignment="1">
      <alignment horizontal="center" vertical="center" wrapText="1"/>
    </xf>
    <xf numFmtId="167" fontId="42" fillId="12" borderId="6" xfId="0" applyNumberFormat="1" applyFont="1" applyFill="1" applyBorder="1" applyAlignment="1">
      <alignment horizontal="center" vertical="center" wrapText="1"/>
    </xf>
    <xf numFmtId="167" fontId="42" fillId="12" borderId="7" xfId="0" applyNumberFormat="1" applyFont="1" applyFill="1" applyBorder="1" applyAlignment="1">
      <alignment horizontal="center" vertical="center" wrapText="1"/>
    </xf>
    <xf numFmtId="0" fontId="42" fillId="12" borderId="4" xfId="0" applyFont="1" applyFill="1" applyBorder="1" applyAlignment="1">
      <alignment horizontal="center" vertical="center" wrapText="1"/>
    </xf>
    <xf numFmtId="0" fontId="42" fillId="12" borderId="2" xfId="0" applyFont="1" applyFill="1" applyBorder="1" applyAlignment="1">
      <alignment horizontal="center" vertical="center" wrapText="1"/>
    </xf>
    <xf numFmtId="0" fontId="28" fillId="12" borderId="4" xfId="0" applyFont="1" applyFill="1" applyBorder="1" applyAlignment="1">
      <alignment horizontal="center" vertical="center" wrapText="1"/>
    </xf>
    <xf numFmtId="0" fontId="28" fillId="12" borderId="2" xfId="0" applyFont="1" applyFill="1" applyBorder="1" applyAlignment="1">
      <alignment horizontal="center" vertical="center" wrapText="1"/>
    </xf>
    <xf numFmtId="166" fontId="42" fillId="12" borderId="4" xfId="0" applyNumberFormat="1" applyFont="1" applyFill="1" applyBorder="1" applyAlignment="1">
      <alignment horizontal="center" vertical="center" wrapText="1"/>
    </xf>
    <xf numFmtId="166" fontId="42" fillId="12" borderId="2" xfId="0" applyNumberFormat="1" applyFont="1" applyFill="1" applyBorder="1" applyAlignment="1">
      <alignment horizontal="center" vertical="center" wrapText="1"/>
    </xf>
    <xf numFmtId="0" fontId="6" fillId="23" borderId="9" xfId="0" applyFont="1" applyFill="1" applyBorder="1" applyAlignment="1">
      <alignment horizontal="center"/>
    </xf>
    <xf numFmtId="0" fontId="6" fillId="23" borderId="1" xfId="0" applyFont="1" applyFill="1" applyBorder="1" applyAlignment="1">
      <alignment horizontal="center"/>
    </xf>
    <xf numFmtId="0" fontId="21" fillId="0" borderId="0" xfId="0" applyFont="1" applyAlignment="1">
      <alignment horizontal="center"/>
    </xf>
    <xf numFmtId="164" fontId="8" fillId="23" borderId="14" xfId="0" applyNumberFormat="1" applyFont="1" applyFill="1" applyBorder="1" applyAlignment="1">
      <alignment horizontal="center" vertical="top" wrapText="1"/>
    </xf>
    <xf numFmtId="164" fontId="8" fillId="23" borderId="6" xfId="0" applyNumberFormat="1" applyFont="1" applyFill="1" applyBorder="1" applyAlignment="1">
      <alignment horizontal="center" vertical="top" wrapText="1"/>
    </xf>
    <xf numFmtId="164" fontId="8" fillId="23" borderId="15" xfId="0" applyNumberFormat="1" applyFont="1" applyFill="1" applyBorder="1" applyAlignment="1">
      <alignment horizontal="center" vertical="top" wrapText="1"/>
    </xf>
    <xf numFmtId="0" fontId="27" fillId="23" borderId="14" xfId="0" applyFont="1" applyFill="1" applyBorder="1" applyAlignment="1">
      <alignment horizontal="center" vertical="center" wrapText="1"/>
    </xf>
    <xf numFmtId="0" fontId="27" fillId="23" borderId="15" xfId="0" applyFont="1" applyFill="1" applyBorder="1" applyAlignment="1">
      <alignment horizontal="center" vertical="center" wrapText="1"/>
    </xf>
    <xf numFmtId="0" fontId="27" fillId="23" borderId="13" xfId="0" applyFont="1" applyFill="1" applyBorder="1" applyAlignment="1">
      <alignment horizontal="center" vertical="center" wrapText="1"/>
    </xf>
    <xf numFmtId="0" fontId="27" fillId="23" borderId="8" xfId="0" applyFont="1" applyFill="1" applyBorder="1" applyAlignment="1">
      <alignment horizontal="center" vertical="center" wrapText="1"/>
    </xf>
    <xf numFmtId="167" fontId="50" fillId="0" borderId="0" xfId="0" applyNumberFormat="1" applyFont="1" applyAlignment="1">
      <alignment horizontal="right" vertical="center" wrapText="1"/>
    </xf>
    <xf numFmtId="0" fontId="46" fillId="13" borderId="3" xfId="0" applyFont="1" applyFill="1" applyBorder="1" applyAlignment="1">
      <alignment horizontal="center" vertical="center" wrapText="1"/>
    </xf>
    <xf numFmtId="0" fontId="46" fillId="13" borderId="6" xfId="0" applyFont="1" applyFill="1" applyBorder="1" applyAlignment="1">
      <alignment horizontal="center" vertical="center" wrapText="1"/>
    </xf>
    <xf numFmtId="0" fontId="46" fillId="13" borderId="7" xfId="0" applyFont="1" applyFill="1" applyBorder="1" applyAlignment="1">
      <alignment horizontal="center" vertical="center" wrapText="1"/>
    </xf>
    <xf numFmtId="0" fontId="29" fillId="23" borderId="3" xfId="0" applyFont="1" applyFill="1" applyBorder="1" applyAlignment="1">
      <alignment horizontal="center" vertical="center" wrapText="1"/>
    </xf>
    <xf numFmtId="0" fontId="29" fillId="23" borderId="6" xfId="0" applyFont="1" applyFill="1" applyBorder="1" applyAlignment="1">
      <alignment horizontal="center" vertical="center" wrapText="1"/>
    </xf>
    <xf numFmtId="0" fontId="29" fillId="23" borderId="7" xfId="0" applyFont="1" applyFill="1" applyBorder="1" applyAlignment="1">
      <alignment horizontal="center" vertical="center" wrapText="1"/>
    </xf>
    <xf numFmtId="0" fontId="6" fillId="23" borderId="13" xfId="0" applyFont="1" applyFill="1" applyBorder="1" applyAlignment="1">
      <alignment horizontal="center" vertical="center" wrapText="1"/>
    </xf>
    <xf numFmtId="0" fontId="6" fillId="23" borderId="8" xfId="0" applyFont="1" applyFill="1" applyBorder="1" applyAlignment="1">
      <alignment horizontal="center" vertical="center" wrapText="1"/>
    </xf>
    <xf numFmtId="0" fontId="6" fillId="28" borderId="4" xfId="0" applyFont="1" applyFill="1" applyBorder="1" applyAlignment="1">
      <alignment horizontal="center" vertical="center"/>
    </xf>
    <xf numFmtId="0" fontId="6" fillId="28" borderId="2" xfId="0" applyFont="1" applyFill="1" applyBorder="1" applyAlignment="1">
      <alignment horizontal="center" vertical="center"/>
    </xf>
    <xf numFmtId="0" fontId="6" fillId="28" borderId="1" xfId="0" applyFont="1" applyFill="1" applyBorder="1" applyAlignment="1">
      <alignment horizontal="center" vertical="center"/>
    </xf>
    <xf numFmtId="0" fontId="29" fillId="10" borderId="4" xfId="0" applyFont="1" applyFill="1" applyBorder="1" applyAlignment="1">
      <alignment horizontal="center" vertical="center" wrapText="1"/>
    </xf>
    <xf numFmtId="0" fontId="29" fillId="10" borderId="2" xfId="0" applyFont="1" applyFill="1" applyBorder="1" applyAlignment="1">
      <alignment horizontal="center" vertical="center" wrapText="1"/>
    </xf>
    <xf numFmtId="0" fontId="52" fillId="9" borderId="1" xfId="29" applyFont="1" applyFill="1" applyBorder="1" applyAlignment="1" applyProtection="1">
      <alignment horizontal="center" vertical="center" wrapText="1"/>
      <protection locked="0"/>
    </xf>
    <xf numFmtId="0" fontId="52" fillId="10" borderId="1" xfId="16" applyFont="1" applyFill="1" applyBorder="1" applyAlignment="1">
      <alignment horizontal="center" vertical="center" wrapText="1"/>
    </xf>
    <xf numFmtId="167" fontId="53" fillId="10" borderId="1" xfId="0" applyNumberFormat="1" applyFont="1" applyFill="1" applyBorder="1" applyAlignment="1">
      <alignment horizontal="center" vertical="center" wrapText="1"/>
    </xf>
    <xf numFmtId="166" fontId="53" fillId="10" borderId="1" xfId="0" applyNumberFormat="1" applyFont="1" applyFill="1" applyBorder="1" applyAlignment="1">
      <alignment horizontal="center" vertical="center" wrapText="1"/>
    </xf>
    <xf numFmtId="1" fontId="55" fillId="2" borderId="4" xfId="0" applyNumberFormat="1" applyFont="1" applyFill="1" applyBorder="1" applyAlignment="1">
      <alignment horizontal="center" vertical="center" textRotation="90"/>
    </xf>
    <xf numFmtId="1" fontId="55" fillId="2" borderId="5" xfId="0" applyNumberFormat="1" applyFont="1" applyFill="1" applyBorder="1" applyAlignment="1">
      <alignment horizontal="center" vertical="center" textRotation="90"/>
    </xf>
    <xf numFmtId="1" fontId="54" fillId="3" borderId="4" xfId="0" applyNumberFormat="1" applyFont="1" applyFill="1" applyBorder="1" applyAlignment="1">
      <alignment horizontal="center" vertical="center" textRotation="90"/>
    </xf>
    <xf numFmtId="1" fontId="54" fillId="3" borderId="5" xfId="0" applyNumberFormat="1" applyFont="1" applyFill="1" applyBorder="1" applyAlignment="1">
      <alignment horizontal="center" vertical="center" textRotation="90"/>
    </xf>
    <xf numFmtId="0" fontId="54" fillId="2" borderId="4"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2" xfId="0" applyFont="1" applyFill="1" applyBorder="1" applyAlignment="1">
      <alignment horizontal="center" vertical="center" wrapText="1"/>
    </xf>
    <xf numFmtId="0" fontId="54" fillId="0" borderId="4" xfId="0" applyFont="1" applyBorder="1" applyAlignment="1">
      <alignment horizontal="center" vertical="center" wrapText="1"/>
    </xf>
    <xf numFmtId="0" fontId="54" fillId="0" borderId="2" xfId="0" applyFont="1" applyBorder="1" applyAlignment="1">
      <alignment horizontal="center" vertical="center" wrapText="1"/>
    </xf>
    <xf numFmtId="0" fontId="54" fillId="0" borderId="1" xfId="0" applyFont="1" applyBorder="1" applyAlignment="1">
      <alignment horizontal="center" vertical="center" wrapText="1"/>
    </xf>
    <xf numFmtId="0" fontId="54" fillId="0" borderId="5" xfId="0" applyFont="1" applyBorder="1" applyAlignment="1">
      <alignment horizontal="center" vertical="center" wrapText="1"/>
    </xf>
    <xf numFmtId="1" fontId="55" fillId="2" borderId="4" xfId="0" applyNumberFormat="1" applyFont="1" applyFill="1" applyBorder="1" applyAlignment="1">
      <alignment horizontal="center" vertical="center" textRotation="90" wrapText="1"/>
    </xf>
    <xf numFmtId="1" fontId="55" fillId="2" borderId="5" xfId="0" applyNumberFormat="1" applyFont="1" applyFill="1" applyBorder="1" applyAlignment="1">
      <alignment horizontal="center" vertical="center" textRotation="90" wrapText="1"/>
    </xf>
    <xf numFmtId="0" fontId="21" fillId="5" borderId="0" xfId="0" applyFont="1" applyFill="1" applyAlignment="1">
      <alignment horizontal="center"/>
    </xf>
    <xf numFmtId="0" fontId="21" fillId="5" borderId="9" xfId="0" applyFont="1" applyFill="1" applyBorder="1" applyAlignment="1">
      <alignment horizontal="center"/>
    </xf>
    <xf numFmtId="0" fontId="21" fillId="5" borderId="0" xfId="0" applyFont="1" applyFill="1" applyBorder="1" applyAlignment="1">
      <alignment horizontal="center"/>
    </xf>
    <xf numFmtId="166" fontId="57" fillId="2" borderId="4" xfId="0" applyNumberFormat="1" applyFont="1" applyFill="1" applyBorder="1" applyAlignment="1">
      <alignment horizontal="center" vertical="center" wrapText="1"/>
    </xf>
    <xf numFmtId="166" fontId="57" fillId="2" borderId="5" xfId="0" applyNumberFormat="1" applyFont="1" applyFill="1" applyBorder="1" applyAlignment="1">
      <alignment horizontal="center" vertical="center" wrapText="1"/>
    </xf>
    <xf numFmtId="166" fontId="57" fillId="2" borderId="2" xfId="0" applyNumberFormat="1" applyFont="1" applyFill="1" applyBorder="1" applyAlignment="1">
      <alignment horizontal="center" vertical="center" wrapText="1"/>
    </xf>
    <xf numFmtId="0" fontId="21" fillId="10" borderId="1" xfId="0" applyFont="1" applyFill="1" applyBorder="1" applyAlignment="1">
      <alignment horizontal="center" vertical="center" wrapText="1"/>
    </xf>
    <xf numFmtId="1" fontId="54" fillId="3" borderId="4" xfId="0" applyNumberFormat="1" applyFont="1" applyFill="1" applyBorder="1" applyAlignment="1">
      <alignment horizontal="center" vertical="center" textRotation="90" wrapText="1"/>
    </xf>
    <xf numFmtId="1" fontId="54" fillId="3" borderId="5" xfId="0" applyNumberFormat="1" applyFont="1" applyFill="1" applyBorder="1" applyAlignment="1">
      <alignment horizontal="center" vertical="center" textRotation="90" wrapText="1"/>
    </xf>
    <xf numFmtId="0" fontId="29" fillId="28" borderId="1" xfId="0" applyFont="1" applyFill="1" applyBorder="1" applyAlignment="1">
      <alignment horizontal="center" vertical="center"/>
    </xf>
    <xf numFmtId="0" fontId="86" fillId="0" borderId="3" xfId="0" applyFont="1" applyBorder="1" applyAlignment="1">
      <alignment horizontal="center" vertical="center" wrapText="1"/>
    </xf>
    <xf numFmtId="0" fontId="86" fillId="0" borderId="6" xfId="0" applyFont="1" applyBorder="1" applyAlignment="1">
      <alignment horizontal="center" vertical="center" wrapText="1"/>
    </xf>
    <xf numFmtId="0" fontId="86" fillId="0" borderId="7" xfId="0" applyFont="1" applyBorder="1" applyAlignment="1">
      <alignment horizontal="center" vertical="center" wrapText="1"/>
    </xf>
    <xf numFmtId="0" fontId="29" fillId="5" borderId="19" xfId="0" applyFont="1" applyFill="1" applyBorder="1" applyAlignment="1">
      <alignment horizontal="center" vertical="center"/>
    </xf>
    <xf numFmtId="0" fontId="29" fillId="5" borderId="10" xfId="0" applyFont="1" applyFill="1" applyBorder="1" applyAlignment="1">
      <alignment horizontal="center" vertical="center"/>
    </xf>
    <xf numFmtId="0" fontId="29" fillId="28" borderId="4" xfId="0" applyFont="1" applyFill="1" applyBorder="1" applyAlignment="1">
      <alignment horizontal="center" vertical="center"/>
    </xf>
    <xf numFmtId="0" fontId="29" fillId="28" borderId="2" xfId="0" applyFont="1" applyFill="1" applyBorder="1" applyAlignment="1">
      <alignment horizontal="center" vertical="center"/>
    </xf>
    <xf numFmtId="0" fontId="84" fillId="9" borderId="4" xfId="29" applyFont="1" applyFill="1" applyBorder="1" applyAlignment="1" applyProtection="1">
      <alignment horizontal="center" vertical="center" wrapText="1"/>
      <protection locked="0"/>
    </xf>
    <xf numFmtId="0" fontId="84" fillId="9" borderId="2" xfId="29" applyFont="1" applyFill="1" applyBorder="1" applyAlignment="1" applyProtection="1">
      <alignment horizontal="center" vertical="center" wrapText="1"/>
      <protection locked="0"/>
    </xf>
    <xf numFmtId="0" fontId="29" fillId="5" borderId="1" xfId="0" applyFont="1" applyFill="1" applyBorder="1" applyAlignment="1">
      <alignment horizontal="center"/>
    </xf>
    <xf numFmtId="0" fontId="29" fillId="5" borderId="3" xfId="0" applyFont="1" applyFill="1" applyBorder="1" applyAlignment="1">
      <alignment horizontal="center"/>
    </xf>
    <xf numFmtId="0" fontId="29" fillId="0" borderId="3"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167" fontId="83" fillId="10" borderId="3" xfId="0" applyNumberFormat="1" applyFont="1" applyFill="1" applyBorder="1" applyAlignment="1">
      <alignment horizontal="center" vertical="center" wrapText="1"/>
    </xf>
    <xf numFmtId="167" fontId="83" fillId="10" borderId="6" xfId="0" applyNumberFormat="1" applyFont="1" applyFill="1" applyBorder="1" applyAlignment="1">
      <alignment horizontal="center" vertical="center" wrapText="1"/>
    </xf>
    <xf numFmtId="167" fontId="83" fillId="10" borderId="7" xfId="0" applyNumberFormat="1" applyFont="1" applyFill="1" applyBorder="1" applyAlignment="1">
      <alignment horizontal="center" vertical="center" wrapText="1"/>
    </xf>
    <xf numFmtId="0" fontId="83" fillId="10" borderId="4" xfId="0" applyFont="1" applyFill="1" applyBorder="1" applyAlignment="1">
      <alignment horizontal="center" vertical="center" wrapText="1"/>
    </xf>
    <xf numFmtId="0" fontId="83" fillId="10" borderId="2" xfId="0" applyFont="1" applyFill="1" applyBorder="1" applyAlignment="1">
      <alignment horizontal="center" vertical="center" wrapText="1"/>
    </xf>
    <xf numFmtId="167" fontId="83" fillId="10" borderId="4" xfId="0" applyNumberFormat="1" applyFont="1" applyFill="1" applyBorder="1" applyAlignment="1">
      <alignment horizontal="center" vertical="center" wrapText="1"/>
    </xf>
    <xf numFmtId="167" fontId="83" fillId="10" borderId="2" xfId="0" applyNumberFormat="1" applyFont="1" applyFill="1" applyBorder="1" applyAlignment="1">
      <alignment horizontal="center" vertical="center" wrapText="1"/>
    </xf>
    <xf numFmtId="166" fontId="83" fillId="10" borderId="4" xfId="0" applyNumberFormat="1" applyFont="1" applyFill="1" applyBorder="1" applyAlignment="1">
      <alignment horizontal="center" vertical="center" wrapText="1"/>
    </xf>
    <xf numFmtId="166" fontId="83" fillId="10" borderId="2" xfId="0" applyNumberFormat="1" applyFont="1" applyFill="1" applyBorder="1" applyAlignment="1">
      <alignment horizontal="center" vertical="center" wrapText="1"/>
    </xf>
    <xf numFmtId="0" fontId="29" fillId="5" borderId="6" xfId="0" applyFont="1" applyFill="1" applyBorder="1" applyAlignment="1">
      <alignment horizontal="center"/>
    </xf>
    <xf numFmtId="0" fontId="29" fillId="5" borderId="7" xfId="0" applyFont="1" applyFill="1" applyBorder="1" applyAlignment="1">
      <alignment horizontal="center"/>
    </xf>
    <xf numFmtId="0" fontId="29" fillId="5" borderId="9" xfId="0" applyFont="1" applyFill="1" applyBorder="1" applyAlignment="1">
      <alignment horizontal="center"/>
    </xf>
    <xf numFmtId="0" fontId="27" fillId="5" borderId="3" xfId="0" applyFont="1" applyFill="1" applyBorder="1" applyAlignment="1">
      <alignment horizontal="center" vertical="center" wrapText="1"/>
    </xf>
    <xf numFmtId="0" fontId="27" fillId="5" borderId="6" xfId="0" applyFont="1" applyFill="1" applyBorder="1" applyAlignment="1">
      <alignment horizontal="center" vertical="center" wrapText="1"/>
    </xf>
    <xf numFmtId="43" fontId="29" fillId="28" borderId="1" xfId="21" applyFont="1" applyFill="1" applyBorder="1" applyAlignment="1">
      <alignment horizontal="center" vertical="center"/>
    </xf>
    <xf numFmtId="0" fontId="22" fillId="5" borderId="1" xfId="0" applyFont="1" applyFill="1" applyBorder="1" applyAlignment="1">
      <alignment horizontal="center" vertical="center"/>
    </xf>
    <xf numFmtId="167" fontId="51" fillId="10" borderId="1" xfId="0" applyNumberFormat="1" applyFont="1" applyFill="1" applyBorder="1" applyAlignment="1">
      <alignment horizontal="center" vertical="center" wrapText="1"/>
    </xf>
    <xf numFmtId="0" fontId="27" fillId="10" borderId="1" xfId="0" applyFont="1" applyFill="1" applyBorder="1" applyAlignment="1">
      <alignment horizontal="center" vertical="center" wrapText="1"/>
    </xf>
    <xf numFmtId="0" fontId="42" fillId="10" borderId="1" xfId="0" applyFont="1" applyFill="1" applyBorder="1" applyAlignment="1">
      <alignment horizontal="center" vertical="center" wrapText="1"/>
    </xf>
    <xf numFmtId="43" fontId="42" fillId="10" borderId="1" xfId="21" applyFont="1" applyFill="1" applyBorder="1" applyAlignment="1">
      <alignment horizontal="center" vertical="center" wrapText="1"/>
    </xf>
    <xf numFmtId="166" fontId="42" fillId="10" borderId="1" xfId="0" applyNumberFormat="1"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7" xfId="0" applyFont="1" applyFill="1" applyBorder="1" applyAlignment="1">
      <alignment horizontal="center" vertical="center" wrapText="1"/>
    </xf>
    <xf numFmtId="43" fontId="28" fillId="9" borderId="3" xfId="21" applyFont="1" applyFill="1" applyBorder="1" applyAlignment="1" applyProtection="1">
      <alignment horizontal="center" vertical="center" wrapText="1"/>
      <protection locked="0"/>
    </xf>
    <xf numFmtId="0" fontId="28" fillId="9" borderId="1" xfId="29" applyFont="1" applyFill="1" applyBorder="1" applyAlignment="1" applyProtection="1">
      <alignment horizontal="center" vertical="center" wrapText="1"/>
      <protection locked="0"/>
    </xf>
    <xf numFmtId="43" fontId="28" fillId="9" borderId="1" xfId="21" applyFont="1" applyFill="1" applyBorder="1" applyAlignment="1" applyProtection="1">
      <alignment horizontal="center" vertical="center" wrapText="1"/>
      <protection locked="0"/>
    </xf>
    <xf numFmtId="0" fontId="27" fillId="5" borderId="17" xfId="0" applyFont="1" applyFill="1" applyBorder="1" applyAlignment="1">
      <alignment horizontal="center" vertical="center" wrapText="1"/>
    </xf>
    <xf numFmtId="0" fontId="27" fillId="5" borderId="9" xfId="0" applyFont="1" applyFill="1" applyBorder="1" applyAlignment="1">
      <alignment horizontal="center" vertical="center" wrapText="1"/>
    </xf>
    <xf numFmtId="0" fontId="5" fillId="0" borderId="0" xfId="0" applyFont="1" applyAlignment="1">
      <alignment horizontal="center" vertical="center" wrapText="1"/>
    </xf>
    <xf numFmtId="166" fontId="5" fillId="0" borderId="0" xfId="0" applyNumberFormat="1" applyFont="1" applyAlignment="1">
      <alignment horizontal="center" vertical="center" wrapText="1"/>
    </xf>
    <xf numFmtId="167" fontId="42" fillId="10" borderId="1" xfId="0" applyNumberFormat="1" applyFont="1" applyFill="1" applyBorder="1" applyAlignment="1">
      <alignment horizontal="center" vertical="center" wrapText="1"/>
    </xf>
    <xf numFmtId="167" fontId="42" fillId="9" borderId="1" xfId="0" applyNumberFormat="1" applyFont="1" applyFill="1" applyBorder="1" applyAlignment="1">
      <alignment horizontal="center" vertical="center" wrapText="1"/>
    </xf>
    <xf numFmtId="0" fontId="8" fillId="23" borderId="3" xfId="0" applyFont="1" applyFill="1" applyBorder="1" applyAlignment="1">
      <alignment horizontal="center" vertical="center" wrapText="1"/>
    </xf>
    <xf numFmtId="0" fontId="8" fillId="23" borderId="6" xfId="0" applyFont="1" applyFill="1" applyBorder="1" applyAlignment="1">
      <alignment horizontal="center" vertical="center" wrapText="1"/>
    </xf>
    <xf numFmtId="0" fontId="8" fillId="23" borderId="7"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8" fillId="10" borderId="1" xfId="0" applyFont="1" applyFill="1" applyBorder="1" applyAlignment="1">
      <alignment horizontal="center" vertical="center" wrapText="1"/>
    </xf>
    <xf numFmtId="0" fontId="28" fillId="9" borderId="3" xfId="29" applyFont="1" applyFill="1" applyBorder="1" applyAlignment="1" applyProtection="1">
      <alignment horizontal="center" vertical="center" wrapText="1"/>
      <protection locked="0"/>
    </xf>
    <xf numFmtId="0" fontId="29" fillId="28" borderId="1" xfId="0" applyFont="1" applyFill="1" applyBorder="1" applyAlignment="1">
      <alignment horizontal="center" vertical="center" wrapText="1"/>
    </xf>
    <xf numFmtId="175" fontId="28" fillId="9" borderId="1" xfId="21" applyNumberFormat="1"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0" fontId="42" fillId="5" borderId="1" xfId="0" applyFont="1" applyFill="1" applyBorder="1" applyAlignment="1">
      <alignment horizontal="center" vertical="center" wrapText="1"/>
    </xf>
    <xf numFmtId="0" fontId="27" fillId="5" borderId="1" xfId="0" applyFont="1" applyFill="1" applyBorder="1" applyAlignment="1">
      <alignment horizontal="center" vertical="center"/>
    </xf>
    <xf numFmtId="0" fontId="84" fillId="9" borderId="1" xfId="29" applyFont="1" applyFill="1" applyBorder="1" applyAlignment="1" applyProtection="1">
      <alignment horizontal="center" vertical="center" wrapText="1"/>
      <protection locked="0"/>
    </xf>
    <xf numFmtId="43" fontId="84" fillId="9" borderId="1" xfId="21" applyFont="1" applyFill="1" applyBorder="1" applyAlignment="1" applyProtection="1">
      <alignment horizontal="center" vertical="center" wrapText="1"/>
      <protection locked="0"/>
    </xf>
    <xf numFmtId="0" fontId="29" fillId="5" borderId="6" xfId="0" applyFont="1" applyFill="1" applyBorder="1" applyAlignment="1">
      <alignment horizontal="center" vertical="center"/>
    </xf>
    <xf numFmtId="167" fontId="83" fillId="10" borderId="1" xfId="0" applyNumberFormat="1" applyFont="1" applyFill="1" applyBorder="1" applyAlignment="1">
      <alignment horizontal="center" vertical="center" wrapText="1"/>
    </xf>
    <xf numFmtId="0" fontId="29" fillId="10" borderId="1" xfId="0" applyFont="1" applyFill="1" applyBorder="1" applyAlignment="1">
      <alignment horizontal="center" vertical="center" wrapText="1"/>
    </xf>
    <xf numFmtId="0" fontId="83" fillId="10" borderId="1" xfId="0" applyFont="1" applyFill="1" applyBorder="1" applyAlignment="1">
      <alignment horizontal="center" vertical="center" wrapText="1"/>
    </xf>
    <xf numFmtId="166" fontId="83" fillId="10" borderId="1" xfId="0" applyNumberFormat="1" applyFont="1" applyFill="1" applyBorder="1" applyAlignment="1">
      <alignment horizontal="center" vertical="center" wrapText="1"/>
    </xf>
    <xf numFmtId="0" fontId="29" fillId="5" borderId="6" xfId="0" applyFont="1" applyFill="1" applyBorder="1" applyAlignment="1">
      <alignment horizontal="center" vertical="center" wrapText="1"/>
    </xf>
    <xf numFmtId="0" fontId="29" fillId="0" borderId="6" xfId="8" applyFont="1" applyBorder="1" applyAlignment="1" applyProtection="1">
      <alignment horizontal="center" vertical="center"/>
      <protection locked="0"/>
    </xf>
    <xf numFmtId="0" fontId="29" fillId="0" borderId="7" xfId="8" applyFont="1" applyBorder="1" applyAlignment="1" applyProtection="1">
      <alignment horizontal="center" vertical="center"/>
      <protection locked="0"/>
    </xf>
    <xf numFmtId="0" fontId="29" fillId="5" borderId="14" xfId="0" applyFont="1" applyFill="1" applyBorder="1" applyAlignment="1">
      <alignment horizontal="center" vertical="center" wrapText="1"/>
    </xf>
    <xf numFmtId="164" fontId="84" fillId="5" borderId="14" xfId="0" applyNumberFormat="1" applyFont="1" applyFill="1" applyBorder="1" applyAlignment="1">
      <alignment horizontal="center" vertical="top" wrapText="1"/>
    </xf>
    <xf numFmtId="164" fontId="84" fillId="5" borderId="6" xfId="0" applyNumberFormat="1" applyFont="1" applyFill="1" applyBorder="1" applyAlignment="1">
      <alignment horizontal="center" vertical="top" wrapText="1"/>
    </xf>
    <xf numFmtId="0" fontId="38" fillId="0" borderId="3"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65" fillId="0" borderId="3" xfId="0" applyFont="1" applyBorder="1" applyAlignment="1">
      <alignment horizontal="center" vertical="center"/>
    </xf>
    <xf numFmtId="0" fontId="65" fillId="0" borderId="6" xfId="0" applyFont="1" applyBorder="1" applyAlignment="1">
      <alignment horizontal="center" vertical="center"/>
    </xf>
    <xf numFmtId="0" fontId="65" fillId="0" borderId="7" xfId="0" applyFont="1" applyBorder="1" applyAlignment="1">
      <alignment horizontal="center" vertical="center"/>
    </xf>
    <xf numFmtId="0" fontId="84" fillId="9" borderId="3" xfId="29" applyFont="1" applyFill="1" applyBorder="1" applyAlignment="1" applyProtection="1">
      <alignment horizontal="center" vertical="center" wrapText="1"/>
      <protection locked="0"/>
    </xf>
    <xf numFmtId="0" fontId="29" fillId="5" borderId="7" xfId="0" applyFont="1" applyFill="1" applyBorder="1" applyAlignment="1">
      <alignment horizontal="center" vertical="center" wrapText="1"/>
    </xf>
    <xf numFmtId="0" fontId="38" fillId="15" borderId="4" xfId="0" applyFont="1" applyFill="1" applyBorder="1" applyAlignment="1">
      <alignment horizontal="center" vertical="center" wrapText="1"/>
    </xf>
    <xf numFmtId="0" fontId="38" fillId="15" borderId="5" xfId="0" applyFont="1" applyFill="1" applyBorder="1" applyAlignment="1">
      <alignment horizontal="center" vertical="center" wrapText="1"/>
    </xf>
    <xf numFmtId="0" fontId="38" fillId="15" borderId="2" xfId="0" applyFont="1" applyFill="1" applyBorder="1" applyAlignment="1">
      <alignment horizontal="center" vertical="center" wrapText="1"/>
    </xf>
    <xf numFmtId="0" fontId="29" fillId="14" borderId="17" xfId="0" applyFont="1" applyFill="1" applyBorder="1" applyAlignment="1">
      <alignment horizontal="center" vertical="center" wrapText="1"/>
    </xf>
    <xf numFmtId="0" fontId="29" fillId="14" borderId="10" xfId="0" applyFont="1" applyFill="1" applyBorder="1" applyAlignment="1">
      <alignment horizontal="center" vertical="center" wrapText="1"/>
    </xf>
    <xf numFmtId="0" fontId="29" fillId="5" borderId="17" xfId="0" applyFont="1" applyFill="1" applyBorder="1" applyAlignment="1">
      <alignment horizontal="center" vertical="center" wrapText="1"/>
    </xf>
    <xf numFmtId="0" fontId="29" fillId="5" borderId="19" xfId="0" applyFont="1" applyFill="1" applyBorder="1" applyAlignment="1">
      <alignment horizontal="center" vertical="center" wrapText="1"/>
    </xf>
    <xf numFmtId="0" fontId="6" fillId="28" borderId="4" xfId="0" applyFont="1" applyFill="1" applyBorder="1" applyAlignment="1">
      <alignment horizontal="center" vertical="top" wrapText="1"/>
    </xf>
    <xf numFmtId="0" fontId="6" fillId="28" borderId="2" xfId="0" applyFont="1" applyFill="1" applyBorder="1" applyAlignment="1">
      <alignment horizontal="center" vertical="top" wrapText="1"/>
    </xf>
    <xf numFmtId="0" fontId="47" fillId="23" borderId="1" xfId="0" applyFont="1" applyFill="1" applyBorder="1" applyAlignment="1">
      <alignment horizontal="center"/>
    </xf>
    <xf numFmtId="0" fontId="29" fillId="14" borderId="19" xfId="0" applyFont="1" applyFill="1" applyBorder="1" applyAlignment="1">
      <alignment horizontal="center" vertical="center" wrapText="1"/>
    </xf>
    <xf numFmtId="0" fontId="29" fillId="23" borderId="19" xfId="0" applyFont="1" applyFill="1" applyBorder="1" applyAlignment="1">
      <alignment horizontal="center" vertical="center" wrapText="1"/>
    </xf>
    <xf numFmtId="0" fontId="18" fillId="28" borderId="1" xfId="0" applyFont="1" applyFill="1" applyBorder="1" applyAlignment="1">
      <alignment horizontal="center" vertical="center"/>
    </xf>
    <xf numFmtId="0" fontId="18" fillId="5" borderId="3" xfId="0" applyFont="1" applyFill="1" applyBorder="1" applyAlignment="1">
      <alignment horizontal="center"/>
    </xf>
    <xf numFmtId="0" fontId="18" fillId="5" borderId="6" xfId="0" applyFont="1" applyFill="1" applyBorder="1" applyAlignment="1">
      <alignment horizontal="center"/>
    </xf>
    <xf numFmtId="0" fontId="18" fillId="5" borderId="7" xfId="0" applyFont="1" applyFill="1" applyBorder="1" applyAlignment="1">
      <alignment horizontal="center"/>
    </xf>
    <xf numFmtId="0" fontId="18" fillId="5" borderId="3"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3" xfId="0" applyFont="1" applyFill="1" applyBorder="1" applyAlignment="1">
      <alignment horizontal="center" wrapText="1"/>
    </xf>
    <xf numFmtId="0" fontId="18" fillId="5" borderId="6" xfId="0" applyFont="1" applyFill="1" applyBorder="1" applyAlignment="1">
      <alignment horizontal="center" wrapText="1"/>
    </xf>
    <xf numFmtId="0" fontId="18" fillId="5" borderId="7" xfId="0" applyFont="1" applyFill="1" applyBorder="1" applyAlignment="1">
      <alignment horizontal="center" wrapText="1"/>
    </xf>
    <xf numFmtId="0" fontId="89" fillId="10" borderId="1" xfId="0" applyFont="1" applyFill="1" applyBorder="1" applyAlignment="1">
      <alignment horizontal="center" vertical="center" wrapText="1"/>
    </xf>
    <xf numFmtId="167" fontId="89" fillId="10" borderId="1" xfId="0" applyNumberFormat="1" applyFont="1" applyFill="1" applyBorder="1" applyAlignment="1">
      <alignment horizontal="center" vertical="center" wrapText="1"/>
    </xf>
    <xf numFmtId="0" fontId="18" fillId="10" borderId="1" xfId="0" applyFont="1" applyFill="1" applyBorder="1" applyAlignment="1">
      <alignment horizontal="center" vertical="center" wrapText="1"/>
    </xf>
    <xf numFmtId="166" fontId="89" fillId="10" borderId="1" xfId="0" applyNumberFormat="1" applyFont="1" applyFill="1" applyBorder="1" applyAlignment="1">
      <alignment horizontal="center" vertical="center" wrapText="1"/>
    </xf>
    <xf numFmtId="0" fontId="90" fillId="9" borderId="1" xfId="29" applyFont="1" applyFill="1" applyBorder="1" applyAlignment="1" applyProtection="1">
      <alignment horizontal="center" vertical="center" wrapText="1"/>
      <protection locked="0"/>
    </xf>
    <xf numFmtId="0" fontId="28" fillId="9" borderId="4" xfId="29" applyFont="1" applyFill="1" applyBorder="1" applyAlignment="1" applyProtection="1">
      <alignment horizontal="center" vertical="center" wrapText="1"/>
      <protection locked="0"/>
    </xf>
    <xf numFmtId="0" fontId="28" fillId="9" borderId="2" xfId="29" applyFont="1" applyFill="1" applyBorder="1" applyAlignment="1" applyProtection="1">
      <alignment horizontal="center" vertical="center" wrapText="1"/>
      <protection locked="0"/>
    </xf>
    <xf numFmtId="0" fontId="22" fillId="5" borderId="17" xfId="0" applyFont="1" applyFill="1" applyBorder="1" applyAlignment="1">
      <alignment horizontal="center"/>
    </xf>
    <xf numFmtId="0" fontId="22" fillId="5" borderId="9" xfId="0" applyFont="1" applyFill="1" applyBorder="1" applyAlignment="1">
      <alignment horizontal="center"/>
    </xf>
    <xf numFmtId="0" fontId="22" fillId="5" borderId="18" xfId="0" applyFont="1" applyFill="1" applyBorder="1" applyAlignment="1">
      <alignment horizontal="center"/>
    </xf>
    <xf numFmtId="0" fontId="27" fillId="5" borderId="10" xfId="0" applyFont="1" applyFill="1" applyBorder="1" applyAlignment="1">
      <alignment horizontal="center" vertical="center" wrapText="1"/>
    </xf>
    <xf numFmtId="0" fontId="27" fillId="5" borderId="11" xfId="0" applyFont="1" applyFill="1" applyBorder="1" applyAlignment="1">
      <alignment horizontal="center" vertical="center" wrapText="1"/>
    </xf>
    <xf numFmtId="0" fontId="22" fillId="0" borderId="1" xfId="0" applyFont="1" applyBorder="1" applyAlignment="1">
      <alignment horizontal="center" vertical="center"/>
    </xf>
    <xf numFmtId="0" fontId="28" fillId="9" borderId="6" xfId="29" applyFont="1" applyFill="1" applyBorder="1" applyAlignment="1" applyProtection="1">
      <alignment horizontal="center" vertical="center" wrapText="1"/>
      <protection locked="0"/>
    </xf>
    <xf numFmtId="0" fontId="28" fillId="9" borderId="7" xfId="29" applyFont="1" applyFill="1" applyBorder="1" applyAlignment="1" applyProtection="1">
      <alignment horizontal="center" vertical="center" wrapText="1"/>
      <protection locked="0"/>
    </xf>
    <xf numFmtId="0" fontId="28" fillId="5" borderId="3" xfId="29" applyFont="1" applyFill="1" applyBorder="1" applyAlignment="1" applyProtection="1">
      <alignment horizontal="center" vertical="center" wrapText="1"/>
      <protection locked="0"/>
    </xf>
    <xf numFmtId="0" fontId="28" fillId="5" borderId="6" xfId="29" applyFont="1" applyFill="1" applyBorder="1" applyAlignment="1" applyProtection="1">
      <alignment horizontal="center" vertical="center" wrapText="1"/>
      <protection locked="0"/>
    </xf>
    <xf numFmtId="0" fontId="29" fillId="5" borderId="3" xfId="0" applyFont="1" applyFill="1" applyBorder="1" applyAlignment="1">
      <alignment horizontal="center" vertical="center"/>
    </xf>
    <xf numFmtId="0" fontId="29" fillId="5" borderId="7" xfId="0" applyFont="1" applyFill="1" applyBorder="1" applyAlignment="1">
      <alignment horizontal="center" vertical="center"/>
    </xf>
    <xf numFmtId="0" fontId="28" fillId="9" borderId="1" xfId="0" applyFont="1" applyFill="1" applyBorder="1" applyAlignment="1" applyProtection="1">
      <alignment horizontal="center" vertical="center" wrapText="1"/>
      <protection locked="0"/>
    </xf>
    <xf numFmtId="0" fontId="29" fillId="5" borderId="3" xfId="0" applyFont="1" applyFill="1" applyBorder="1" applyAlignment="1">
      <alignment horizontal="center" vertical="center" wrapText="1"/>
    </xf>
    <xf numFmtId="167" fontId="42" fillId="10" borderId="3" xfId="0" applyNumberFormat="1" applyFont="1" applyFill="1" applyBorder="1" applyAlignment="1">
      <alignment horizontal="center" vertical="center" wrapText="1"/>
    </xf>
    <xf numFmtId="167" fontId="42" fillId="10" borderId="6" xfId="0" applyNumberFormat="1" applyFont="1" applyFill="1" applyBorder="1" applyAlignment="1">
      <alignment horizontal="center" vertical="center" wrapText="1"/>
    </xf>
    <xf numFmtId="167" fontId="42" fillId="10" borderId="7" xfId="0" applyNumberFormat="1" applyFont="1" applyFill="1" applyBorder="1" applyAlignment="1">
      <alignment horizontal="center" vertical="center" wrapText="1"/>
    </xf>
    <xf numFmtId="0" fontId="28" fillId="5" borderId="17" xfId="0" applyFont="1" applyFill="1" applyBorder="1" applyAlignment="1">
      <alignment horizontal="center" vertical="center" wrapText="1"/>
    </xf>
    <xf numFmtId="0" fontId="28" fillId="5" borderId="9" xfId="0" applyFont="1" applyFill="1" applyBorder="1" applyAlignment="1">
      <alignment horizontal="center" vertical="center" wrapText="1"/>
    </xf>
    <xf numFmtId="0" fontId="6" fillId="28" borderId="3" xfId="0" applyFont="1" applyFill="1" applyBorder="1" applyAlignment="1">
      <alignment horizontal="center" vertical="center"/>
    </xf>
    <xf numFmtId="0" fontId="27" fillId="28" borderId="1" xfId="0" applyFont="1" applyFill="1" applyBorder="1" applyAlignment="1">
      <alignment horizontal="center" vertical="center"/>
    </xf>
    <xf numFmtId="0" fontId="28" fillId="5" borderId="1" xfId="29" applyFont="1" applyFill="1" applyBorder="1" applyAlignment="1" applyProtection="1">
      <alignment horizontal="center" vertical="center" wrapText="1"/>
      <protection locked="0"/>
    </xf>
    <xf numFmtId="0" fontId="22" fillId="0" borderId="1" xfId="0" applyFont="1" applyFill="1" applyBorder="1" applyAlignment="1">
      <alignment horizontal="center" vertical="center"/>
    </xf>
    <xf numFmtId="0" fontId="28" fillId="9" borderId="1" xfId="29" applyFont="1" applyFill="1" applyBorder="1" applyAlignment="1" applyProtection="1">
      <alignment vertical="center" wrapText="1"/>
      <protection locked="0"/>
    </xf>
    <xf numFmtId="0" fontId="0" fillId="5" borderId="1" xfId="0" applyFill="1" applyBorder="1" applyAlignment="1">
      <alignment vertical="center" wrapText="1"/>
    </xf>
    <xf numFmtId="0" fontId="0" fillId="5" borderId="1" xfId="0" applyFill="1" applyBorder="1" applyAlignment="1">
      <alignment vertical="center"/>
    </xf>
    <xf numFmtId="43" fontId="28" fillId="9" borderId="1" xfId="21" applyFont="1" applyFill="1" applyBorder="1" applyAlignment="1" applyProtection="1">
      <alignment vertical="center" wrapText="1"/>
      <protection locked="0"/>
    </xf>
  </cellXfs>
  <cellStyles count="158">
    <cellStyle name="Excel Built-in Normal" xfId="18" xr:uid="{00000000-0005-0000-0000-000000000000}"/>
    <cellStyle name="Гиперссылка" xfId="12" builtinId="8"/>
    <cellStyle name="Гиперссылка 2" xfId="6" xr:uid="{00000000-0005-0000-0000-000002000000}"/>
    <cellStyle name="Обычный" xfId="0" builtinId="0"/>
    <cellStyle name="Обычный 2" xfId="1" xr:uid="{00000000-0005-0000-0000-000004000000}"/>
    <cellStyle name="Обычный 2 2 2" xfId="4" xr:uid="{00000000-0005-0000-0000-000005000000}"/>
    <cellStyle name="Обычный 2 2 2 2" xfId="89" xr:uid="{00000000-0005-0000-0000-000006000000}"/>
    <cellStyle name="Обычный 2 2 4 2" xfId="3" xr:uid="{00000000-0005-0000-0000-000007000000}"/>
    <cellStyle name="Обычный 2 3" xfId="88" xr:uid="{00000000-0005-0000-0000-000008000000}"/>
    <cellStyle name="Обычный 3" xfId="8" xr:uid="{00000000-0005-0000-0000-000009000000}"/>
    <cellStyle name="Обычный 4" xfId="10" xr:uid="{00000000-0005-0000-0000-00000A000000}"/>
    <cellStyle name="Обычный 5" xfId="20" xr:uid="{00000000-0005-0000-0000-00000B000000}"/>
    <cellStyle name="Обычный 5 2" xfId="25" xr:uid="{00000000-0005-0000-0000-00000C000000}"/>
    <cellStyle name="Обычный 6" xfId="19" xr:uid="{00000000-0005-0000-0000-00000D000000}"/>
    <cellStyle name="Обычный 7" xfId="5" xr:uid="{00000000-0005-0000-0000-00000E000000}"/>
    <cellStyle name="Обычный 8" xfId="2" xr:uid="{00000000-0005-0000-0000-00000F000000}"/>
    <cellStyle name="Обычный 9" xfId="7" xr:uid="{00000000-0005-0000-0000-000010000000}"/>
    <cellStyle name="Обычный_!! 1. Автоматы  2011" xfId="17" xr:uid="{00000000-0005-0000-0000-000011000000}"/>
    <cellStyle name="Обычный_Книга1" xfId="16" xr:uid="{00000000-0005-0000-0000-000012000000}"/>
    <cellStyle name="Обычный_Лист1" xfId="29" xr:uid="{00000000-0005-0000-0000-000013000000}"/>
    <cellStyle name="Финансовый" xfId="21" builtinId="3"/>
    <cellStyle name="Финансовый 11" xfId="9" xr:uid="{00000000-0005-0000-0000-000015000000}"/>
    <cellStyle name="Финансовый 2" xfId="13" xr:uid="{00000000-0005-0000-0000-000016000000}"/>
    <cellStyle name="Финансовый 2 2" xfId="15" xr:uid="{00000000-0005-0000-0000-000017000000}"/>
    <cellStyle name="Финансовый 2 2 2" xfId="24" xr:uid="{00000000-0005-0000-0000-000018000000}"/>
    <cellStyle name="Финансовый 2 2 2 2" xfId="43" xr:uid="{00000000-0005-0000-0000-000019000000}"/>
    <cellStyle name="Финансовый 2 2 2 2 2" xfId="77" xr:uid="{00000000-0005-0000-0000-00001A000000}"/>
    <cellStyle name="Финансовый 2 2 2 2 2 2" xfId="147" xr:uid="{00000000-0005-0000-0000-00001B000000}"/>
    <cellStyle name="Финансовый 2 2 2 2 3" xfId="113" xr:uid="{00000000-0005-0000-0000-00001C000000}"/>
    <cellStyle name="Финансовый 2 2 2 3" xfId="60" xr:uid="{00000000-0005-0000-0000-00001D000000}"/>
    <cellStyle name="Финансовый 2 2 2 3 2" xfId="130" xr:uid="{00000000-0005-0000-0000-00001E000000}"/>
    <cellStyle name="Финансовый 2 2 2 4" xfId="96" xr:uid="{00000000-0005-0000-0000-00001F000000}"/>
    <cellStyle name="Финансовый 2 2 3" xfId="28" xr:uid="{00000000-0005-0000-0000-000020000000}"/>
    <cellStyle name="Финансовый 2 2 3 2" xfId="46" xr:uid="{00000000-0005-0000-0000-000021000000}"/>
    <cellStyle name="Финансовый 2 2 3 2 2" xfId="80" xr:uid="{00000000-0005-0000-0000-000022000000}"/>
    <cellStyle name="Финансовый 2 2 3 2 2 2" xfId="150" xr:uid="{00000000-0005-0000-0000-000023000000}"/>
    <cellStyle name="Финансовый 2 2 3 2 3" xfId="116" xr:uid="{00000000-0005-0000-0000-000024000000}"/>
    <cellStyle name="Финансовый 2 2 3 3" xfId="63" xr:uid="{00000000-0005-0000-0000-000025000000}"/>
    <cellStyle name="Финансовый 2 2 3 3 2" xfId="133" xr:uid="{00000000-0005-0000-0000-000026000000}"/>
    <cellStyle name="Финансовый 2 2 3 4" xfId="99" xr:uid="{00000000-0005-0000-0000-000027000000}"/>
    <cellStyle name="Финансовый 2 2 4" xfId="32" xr:uid="{00000000-0005-0000-0000-000028000000}"/>
    <cellStyle name="Финансовый 2 2 4 2" xfId="49" xr:uid="{00000000-0005-0000-0000-000029000000}"/>
    <cellStyle name="Финансовый 2 2 4 2 2" xfId="83" xr:uid="{00000000-0005-0000-0000-00002A000000}"/>
    <cellStyle name="Финансовый 2 2 4 2 2 2" xfId="153" xr:uid="{00000000-0005-0000-0000-00002B000000}"/>
    <cellStyle name="Финансовый 2 2 4 2 3" xfId="119" xr:uid="{00000000-0005-0000-0000-00002C000000}"/>
    <cellStyle name="Финансовый 2 2 4 3" xfId="66" xr:uid="{00000000-0005-0000-0000-00002D000000}"/>
    <cellStyle name="Финансовый 2 2 4 3 2" xfId="136" xr:uid="{00000000-0005-0000-0000-00002E000000}"/>
    <cellStyle name="Финансовый 2 2 4 4" xfId="102" xr:uid="{00000000-0005-0000-0000-00002F000000}"/>
    <cellStyle name="Финансовый 2 2 5" xfId="36" xr:uid="{00000000-0005-0000-0000-000030000000}"/>
    <cellStyle name="Финансовый 2 2 5 2" xfId="53" xr:uid="{00000000-0005-0000-0000-000031000000}"/>
    <cellStyle name="Финансовый 2 2 5 2 2" xfId="87" xr:uid="{00000000-0005-0000-0000-000032000000}"/>
    <cellStyle name="Финансовый 2 2 5 2 2 2" xfId="157" xr:uid="{00000000-0005-0000-0000-000033000000}"/>
    <cellStyle name="Финансовый 2 2 5 2 3" xfId="123" xr:uid="{00000000-0005-0000-0000-000034000000}"/>
    <cellStyle name="Финансовый 2 2 5 3" xfId="70" xr:uid="{00000000-0005-0000-0000-000035000000}"/>
    <cellStyle name="Финансовый 2 2 5 3 2" xfId="140" xr:uid="{00000000-0005-0000-0000-000036000000}"/>
    <cellStyle name="Финансовый 2 2 5 4" xfId="106" xr:uid="{00000000-0005-0000-0000-000037000000}"/>
    <cellStyle name="Финансовый 2 2 6" xfId="39" xr:uid="{00000000-0005-0000-0000-000038000000}"/>
    <cellStyle name="Финансовый 2 2 6 2" xfId="73" xr:uid="{00000000-0005-0000-0000-000039000000}"/>
    <cellStyle name="Финансовый 2 2 6 2 2" xfId="143" xr:uid="{00000000-0005-0000-0000-00003A000000}"/>
    <cellStyle name="Финансовый 2 2 6 3" xfId="109" xr:uid="{00000000-0005-0000-0000-00003B000000}"/>
    <cellStyle name="Финансовый 2 2 7" xfId="56" xr:uid="{00000000-0005-0000-0000-00003C000000}"/>
    <cellStyle name="Финансовый 2 2 7 2" xfId="126" xr:uid="{00000000-0005-0000-0000-00003D000000}"/>
    <cellStyle name="Финансовый 2 2 8" xfId="92" xr:uid="{00000000-0005-0000-0000-00003E000000}"/>
    <cellStyle name="Финансовый 2 3" xfId="22" xr:uid="{00000000-0005-0000-0000-00003F000000}"/>
    <cellStyle name="Финансовый 2 3 2" xfId="41" xr:uid="{00000000-0005-0000-0000-000040000000}"/>
    <cellStyle name="Финансовый 2 3 2 2" xfId="75" xr:uid="{00000000-0005-0000-0000-000041000000}"/>
    <cellStyle name="Финансовый 2 3 2 2 2" xfId="145" xr:uid="{00000000-0005-0000-0000-000042000000}"/>
    <cellStyle name="Финансовый 2 3 2 3" xfId="111" xr:uid="{00000000-0005-0000-0000-000043000000}"/>
    <cellStyle name="Финансовый 2 3 3" xfId="58" xr:uid="{00000000-0005-0000-0000-000044000000}"/>
    <cellStyle name="Финансовый 2 3 3 2" xfId="128" xr:uid="{00000000-0005-0000-0000-000045000000}"/>
    <cellStyle name="Финансовый 2 3 4" xfId="94" xr:uid="{00000000-0005-0000-0000-000046000000}"/>
    <cellStyle name="Финансовый 2 4" xfId="26" xr:uid="{00000000-0005-0000-0000-000047000000}"/>
    <cellStyle name="Финансовый 2 4 2" xfId="44" xr:uid="{00000000-0005-0000-0000-000048000000}"/>
    <cellStyle name="Финансовый 2 4 2 2" xfId="78" xr:uid="{00000000-0005-0000-0000-000049000000}"/>
    <cellStyle name="Финансовый 2 4 2 2 2" xfId="148" xr:uid="{00000000-0005-0000-0000-00004A000000}"/>
    <cellStyle name="Финансовый 2 4 2 3" xfId="114" xr:uid="{00000000-0005-0000-0000-00004B000000}"/>
    <cellStyle name="Финансовый 2 4 3" xfId="61" xr:uid="{00000000-0005-0000-0000-00004C000000}"/>
    <cellStyle name="Финансовый 2 4 3 2" xfId="131" xr:uid="{00000000-0005-0000-0000-00004D000000}"/>
    <cellStyle name="Финансовый 2 4 4" xfId="97" xr:uid="{00000000-0005-0000-0000-00004E000000}"/>
    <cellStyle name="Финансовый 2 5" xfId="30" xr:uid="{00000000-0005-0000-0000-00004F000000}"/>
    <cellStyle name="Финансовый 2 5 2" xfId="47" xr:uid="{00000000-0005-0000-0000-000050000000}"/>
    <cellStyle name="Финансовый 2 5 2 2" xfId="81" xr:uid="{00000000-0005-0000-0000-000051000000}"/>
    <cellStyle name="Финансовый 2 5 2 2 2" xfId="151" xr:uid="{00000000-0005-0000-0000-000052000000}"/>
    <cellStyle name="Финансовый 2 5 2 3" xfId="117" xr:uid="{00000000-0005-0000-0000-000053000000}"/>
    <cellStyle name="Финансовый 2 5 3" xfId="64" xr:uid="{00000000-0005-0000-0000-000054000000}"/>
    <cellStyle name="Финансовый 2 5 3 2" xfId="134" xr:uid="{00000000-0005-0000-0000-000055000000}"/>
    <cellStyle name="Финансовый 2 5 4" xfId="100" xr:uid="{00000000-0005-0000-0000-000056000000}"/>
    <cellStyle name="Финансовый 2 6" xfId="34" xr:uid="{00000000-0005-0000-0000-000057000000}"/>
    <cellStyle name="Финансовый 2 6 2" xfId="51" xr:uid="{00000000-0005-0000-0000-000058000000}"/>
    <cellStyle name="Финансовый 2 6 2 2" xfId="85" xr:uid="{00000000-0005-0000-0000-000059000000}"/>
    <cellStyle name="Финансовый 2 6 2 2 2" xfId="155" xr:uid="{00000000-0005-0000-0000-00005A000000}"/>
    <cellStyle name="Финансовый 2 6 2 3" xfId="121" xr:uid="{00000000-0005-0000-0000-00005B000000}"/>
    <cellStyle name="Финансовый 2 6 3" xfId="68" xr:uid="{00000000-0005-0000-0000-00005C000000}"/>
    <cellStyle name="Финансовый 2 6 3 2" xfId="138" xr:uid="{00000000-0005-0000-0000-00005D000000}"/>
    <cellStyle name="Финансовый 2 6 4" xfId="104" xr:uid="{00000000-0005-0000-0000-00005E000000}"/>
    <cellStyle name="Финансовый 2 7" xfId="37" xr:uid="{00000000-0005-0000-0000-00005F000000}"/>
    <cellStyle name="Финансовый 2 7 2" xfId="71" xr:uid="{00000000-0005-0000-0000-000060000000}"/>
    <cellStyle name="Финансовый 2 7 2 2" xfId="141" xr:uid="{00000000-0005-0000-0000-000061000000}"/>
    <cellStyle name="Финансовый 2 7 3" xfId="107" xr:uid="{00000000-0005-0000-0000-000062000000}"/>
    <cellStyle name="Финансовый 2 8" xfId="54" xr:uid="{00000000-0005-0000-0000-000063000000}"/>
    <cellStyle name="Финансовый 2 8 2" xfId="124" xr:uid="{00000000-0005-0000-0000-000064000000}"/>
    <cellStyle name="Финансовый 2 9" xfId="90" xr:uid="{00000000-0005-0000-0000-000065000000}"/>
    <cellStyle name="Финансовый 3" xfId="14" xr:uid="{00000000-0005-0000-0000-000066000000}"/>
    <cellStyle name="Финансовый 3 2" xfId="23" xr:uid="{00000000-0005-0000-0000-000067000000}"/>
    <cellStyle name="Финансовый 3 2 2" xfId="42" xr:uid="{00000000-0005-0000-0000-000068000000}"/>
    <cellStyle name="Финансовый 3 2 2 2" xfId="76" xr:uid="{00000000-0005-0000-0000-000069000000}"/>
    <cellStyle name="Финансовый 3 2 2 2 2" xfId="146" xr:uid="{00000000-0005-0000-0000-00006A000000}"/>
    <cellStyle name="Финансовый 3 2 2 3" xfId="112" xr:uid="{00000000-0005-0000-0000-00006B000000}"/>
    <cellStyle name="Финансовый 3 2 3" xfId="59" xr:uid="{00000000-0005-0000-0000-00006C000000}"/>
    <cellStyle name="Финансовый 3 2 3 2" xfId="129" xr:uid="{00000000-0005-0000-0000-00006D000000}"/>
    <cellStyle name="Финансовый 3 2 4" xfId="95" xr:uid="{00000000-0005-0000-0000-00006E000000}"/>
    <cellStyle name="Финансовый 3 3" xfId="27" xr:uid="{00000000-0005-0000-0000-00006F000000}"/>
    <cellStyle name="Финансовый 3 3 2" xfId="45" xr:uid="{00000000-0005-0000-0000-000070000000}"/>
    <cellStyle name="Финансовый 3 3 2 2" xfId="79" xr:uid="{00000000-0005-0000-0000-000071000000}"/>
    <cellStyle name="Финансовый 3 3 2 2 2" xfId="149" xr:uid="{00000000-0005-0000-0000-000072000000}"/>
    <cellStyle name="Финансовый 3 3 2 3" xfId="115" xr:uid="{00000000-0005-0000-0000-000073000000}"/>
    <cellStyle name="Финансовый 3 3 3" xfId="62" xr:uid="{00000000-0005-0000-0000-000074000000}"/>
    <cellStyle name="Финансовый 3 3 3 2" xfId="132" xr:uid="{00000000-0005-0000-0000-000075000000}"/>
    <cellStyle name="Финансовый 3 3 4" xfId="98" xr:uid="{00000000-0005-0000-0000-000076000000}"/>
    <cellStyle name="Финансовый 3 4" xfId="31" xr:uid="{00000000-0005-0000-0000-000077000000}"/>
    <cellStyle name="Финансовый 3 4 2" xfId="48" xr:uid="{00000000-0005-0000-0000-000078000000}"/>
    <cellStyle name="Финансовый 3 4 2 2" xfId="82" xr:uid="{00000000-0005-0000-0000-000079000000}"/>
    <cellStyle name="Финансовый 3 4 2 2 2" xfId="152" xr:uid="{00000000-0005-0000-0000-00007A000000}"/>
    <cellStyle name="Финансовый 3 4 2 3" xfId="118" xr:uid="{00000000-0005-0000-0000-00007B000000}"/>
    <cellStyle name="Финансовый 3 4 3" xfId="65" xr:uid="{00000000-0005-0000-0000-00007C000000}"/>
    <cellStyle name="Финансовый 3 4 3 2" xfId="135" xr:uid="{00000000-0005-0000-0000-00007D000000}"/>
    <cellStyle name="Финансовый 3 4 4" xfId="101" xr:uid="{00000000-0005-0000-0000-00007E000000}"/>
    <cellStyle name="Финансовый 3 5" xfId="35" xr:uid="{00000000-0005-0000-0000-00007F000000}"/>
    <cellStyle name="Финансовый 3 5 2" xfId="52" xr:uid="{00000000-0005-0000-0000-000080000000}"/>
    <cellStyle name="Финансовый 3 5 2 2" xfId="86" xr:uid="{00000000-0005-0000-0000-000081000000}"/>
    <cellStyle name="Финансовый 3 5 2 2 2" xfId="156" xr:uid="{00000000-0005-0000-0000-000082000000}"/>
    <cellStyle name="Финансовый 3 5 2 3" xfId="122" xr:uid="{00000000-0005-0000-0000-000083000000}"/>
    <cellStyle name="Финансовый 3 5 3" xfId="69" xr:uid="{00000000-0005-0000-0000-000084000000}"/>
    <cellStyle name="Финансовый 3 5 3 2" xfId="139" xr:uid="{00000000-0005-0000-0000-000085000000}"/>
    <cellStyle name="Финансовый 3 5 4" xfId="105" xr:uid="{00000000-0005-0000-0000-000086000000}"/>
    <cellStyle name="Финансовый 3 6" xfId="38" xr:uid="{00000000-0005-0000-0000-000087000000}"/>
    <cellStyle name="Финансовый 3 6 2" xfId="72" xr:uid="{00000000-0005-0000-0000-000088000000}"/>
    <cellStyle name="Финансовый 3 6 2 2" xfId="142" xr:uid="{00000000-0005-0000-0000-000089000000}"/>
    <cellStyle name="Финансовый 3 6 3" xfId="108" xr:uid="{00000000-0005-0000-0000-00008A000000}"/>
    <cellStyle name="Финансовый 3 7" xfId="55" xr:uid="{00000000-0005-0000-0000-00008B000000}"/>
    <cellStyle name="Финансовый 3 7 2" xfId="125" xr:uid="{00000000-0005-0000-0000-00008C000000}"/>
    <cellStyle name="Финансовый 3 8" xfId="91" xr:uid="{00000000-0005-0000-0000-00008D000000}"/>
    <cellStyle name="Финансовый 4" xfId="11" xr:uid="{00000000-0005-0000-0000-00008E000000}"/>
    <cellStyle name="Финансовый 5" xfId="33" xr:uid="{00000000-0005-0000-0000-00008F000000}"/>
    <cellStyle name="Финансовый 5 2" xfId="50" xr:uid="{00000000-0005-0000-0000-000090000000}"/>
    <cellStyle name="Финансовый 5 2 2" xfId="84" xr:uid="{00000000-0005-0000-0000-000091000000}"/>
    <cellStyle name="Финансовый 5 2 2 2" xfId="154" xr:uid="{00000000-0005-0000-0000-000092000000}"/>
    <cellStyle name="Финансовый 5 2 3" xfId="120" xr:uid="{00000000-0005-0000-0000-000093000000}"/>
    <cellStyle name="Финансовый 5 3" xfId="67" xr:uid="{00000000-0005-0000-0000-000094000000}"/>
    <cellStyle name="Финансовый 5 3 2" xfId="137" xr:uid="{00000000-0005-0000-0000-000095000000}"/>
    <cellStyle name="Финансовый 5 4" xfId="103" xr:uid="{00000000-0005-0000-0000-000096000000}"/>
    <cellStyle name="Финансовый 6" xfId="40" xr:uid="{00000000-0005-0000-0000-000097000000}"/>
    <cellStyle name="Финансовый 6 2" xfId="74" xr:uid="{00000000-0005-0000-0000-000098000000}"/>
    <cellStyle name="Финансовый 6 2 2" xfId="144" xr:uid="{00000000-0005-0000-0000-000099000000}"/>
    <cellStyle name="Финансовый 6 3" xfId="110" xr:uid="{00000000-0005-0000-0000-00009A000000}"/>
    <cellStyle name="Финансовый 7" xfId="57" xr:uid="{00000000-0005-0000-0000-00009B000000}"/>
    <cellStyle name="Финансовый 7 2" xfId="127" xr:uid="{00000000-0005-0000-0000-00009C000000}"/>
    <cellStyle name="Финансовый 8" xfId="93" xr:uid="{00000000-0005-0000-0000-00009D00000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https://printers.uz/printer-mfu-epson-l3100.htm"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printers.uz/printer-mfu-epson-l3100.htm" TargetMode="External"/></Relationships>
</file>

<file path=xl/drawings/_rels/drawing5.xml.rels><?xml version="1.0" encoding="UTF-8" standalone="yes"?>
<Relationships xmlns="http://schemas.openxmlformats.org/package/2006/relationships"><Relationship Id="rId2" Type="http://schemas.openxmlformats.org/officeDocument/2006/relationships/hyperlink" Target="https://www.prom.uz/ads/zubilo-po-metallu-fatmax-stanley-4-18-332" TargetMode="External"/><Relationship Id="rId1" Type="http://schemas.openxmlformats.org/officeDocument/2006/relationships/hyperlink" Target="https://printers.uz/printer-mfu-epson-l3100.htm"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501</xdr:row>
      <xdr:rowOff>0</xdr:rowOff>
    </xdr:from>
    <xdr:to>
      <xdr:col>2</xdr:col>
      <xdr:colOff>304800</xdr:colOff>
      <xdr:row>508</xdr:row>
      <xdr:rowOff>88983</xdr:rowOff>
    </xdr:to>
    <xdr:sp macro="" textlink="">
      <xdr:nvSpPr>
        <xdr:cNvPr id="2"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0FE7CDD1-0B43-4401-A13E-B37FBD9E6832}"/>
            </a:ext>
          </a:extLst>
        </xdr:cNvPr>
        <xdr:cNvSpPr>
          <a:spLocks noChangeAspect="1" noChangeArrowheads="1"/>
        </xdr:cNvSpPr>
      </xdr:nvSpPr>
      <xdr:spPr bwMode="auto">
        <a:xfrm>
          <a:off x="3962400" y="714375"/>
          <a:ext cx="304800" cy="13816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501</xdr:row>
      <xdr:rowOff>0</xdr:rowOff>
    </xdr:from>
    <xdr:to>
      <xdr:col>2</xdr:col>
      <xdr:colOff>304800</xdr:colOff>
      <xdr:row>505</xdr:row>
      <xdr:rowOff>40822</xdr:rowOff>
    </xdr:to>
    <xdr:sp macro="" textlink="">
      <xdr:nvSpPr>
        <xdr:cNvPr id="3"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0670B039-4CBE-47E8-975D-AE2E95F20B2B}"/>
            </a:ext>
          </a:extLst>
        </xdr:cNvPr>
        <xdr:cNvSpPr>
          <a:spLocks noChangeAspect="1" noChangeArrowheads="1"/>
        </xdr:cNvSpPr>
      </xdr:nvSpPr>
      <xdr:spPr bwMode="auto">
        <a:xfrm>
          <a:off x="3962400" y="714375"/>
          <a:ext cx="304800" cy="769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501</xdr:row>
      <xdr:rowOff>0</xdr:rowOff>
    </xdr:from>
    <xdr:to>
      <xdr:col>2</xdr:col>
      <xdr:colOff>304800</xdr:colOff>
      <xdr:row>503</xdr:row>
      <xdr:rowOff>178338</xdr:rowOff>
    </xdr:to>
    <xdr:sp macro="" textlink="">
      <xdr:nvSpPr>
        <xdr:cNvPr id="4"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4F4B6DF4-41C5-4F06-AC95-265084794C0A}"/>
            </a:ext>
          </a:extLst>
        </xdr:cNvPr>
        <xdr:cNvSpPr>
          <a:spLocks noChangeAspect="1" noChangeArrowheads="1"/>
        </xdr:cNvSpPr>
      </xdr:nvSpPr>
      <xdr:spPr bwMode="auto">
        <a:xfrm>
          <a:off x="3962400" y="714375"/>
          <a:ext cx="304800" cy="518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9525</xdr:colOff>
      <xdr:row>938</xdr:row>
      <xdr:rowOff>0</xdr:rowOff>
    </xdr:from>
    <xdr:to>
      <xdr:col>7</xdr:col>
      <xdr:colOff>751836</xdr:colOff>
      <xdr:row>938</xdr:row>
      <xdr:rowOff>0</xdr:rowOff>
    </xdr:to>
    <xdr:sp macro="" textlink="">
      <xdr:nvSpPr>
        <xdr:cNvPr id="5" name="Shape 3">
          <a:extLst>
            <a:ext uri="{FF2B5EF4-FFF2-40B4-BE49-F238E27FC236}">
              <a16:creationId xmlns:a16="http://schemas.microsoft.com/office/drawing/2014/main" id="{B8DE4E0A-8942-4B2C-83C2-F26DF59AB7F7}"/>
            </a:ext>
          </a:extLst>
        </xdr:cNvPr>
        <xdr:cNvSpPr/>
      </xdr:nvSpPr>
      <xdr:spPr>
        <a:xfrm>
          <a:off x="8534400" y="51054000"/>
          <a:ext cx="1664875" cy="0"/>
        </a:xfrm>
        <a:custGeom>
          <a:avLst/>
          <a:gdLst/>
          <a:ahLst/>
          <a:cxnLst/>
          <a:rect l="0" t="0" r="0" b="0"/>
          <a:pathLst>
            <a:path w="1647825">
              <a:moveTo>
                <a:pt x="0" y="0"/>
              </a:moveTo>
              <a:lnTo>
                <a:pt x="1647355"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939</xdr:row>
      <xdr:rowOff>0</xdr:rowOff>
    </xdr:from>
    <xdr:to>
      <xdr:col>6</xdr:col>
      <xdr:colOff>737242</xdr:colOff>
      <xdr:row>939</xdr:row>
      <xdr:rowOff>0</xdr:rowOff>
    </xdr:to>
    <xdr:sp macro="" textlink="">
      <xdr:nvSpPr>
        <xdr:cNvPr id="6" name="Shape 4">
          <a:extLst>
            <a:ext uri="{FF2B5EF4-FFF2-40B4-BE49-F238E27FC236}">
              <a16:creationId xmlns:a16="http://schemas.microsoft.com/office/drawing/2014/main" id="{A49B5527-79C1-491A-9E8D-EA12CF64CAB7}"/>
            </a:ext>
          </a:extLst>
        </xdr:cNvPr>
        <xdr:cNvSpPr/>
      </xdr:nvSpPr>
      <xdr:spPr>
        <a:xfrm>
          <a:off x="8534400" y="51254025"/>
          <a:ext cx="721313" cy="0"/>
        </a:xfrm>
        <a:custGeom>
          <a:avLst/>
          <a:gdLst/>
          <a:ahLst/>
          <a:cxnLst/>
          <a:rect l="0" t="0" r="0" b="0"/>
          <a:pathLst>
            <a:path w="708025">
              <a:moveTo>
                <a:pt x="0" y="0"/>
              </a:moveTo>
              <a:lnTo>
                <a:pt x="707752"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939</xdr:row>
      <xdr:rowOff>0</xdr:rowOff>
    </xdr:from>
    <xdr:to>
      <xdr:col>6</xdr:col>
      <xdr:colOff>737242</xdr:colOff>
      <xdr:row>939</xdr:row>
      <xdr:rowOff>0</xdr:rowOff>
    </xdr:to>
    <xdr:sp macro="" textlink="">
      <xdr:nvSpPr>
        <xdr:cNvPr id="7" name="Shape 4">
          <a:extLst>
            <a:ext uri="{FF2B5EF4-FFF2-40B4-BE49-F238E27FC236}">
              <a16:creationId xmlns:a16="http://schemas.microsoft.com/office/drawing/2014/main" id="{C0052FDE-BDA6-44C1-B708-A4EDD7DE8087}"/>
            </a:ext>
          </a:extLst>
        </xdr:cNvPr>
        <xdr:cNvSpPr/>
      </xdr:nvSpPr>
      <xdr:spPr>
        <a:xfrm>
          <a:off x="8534400" y="51254025"/>
          <a:ext cx="721313" cy="0"/>
        </a:xfrm>
        <a:custGeom>
          <a:avLst/>
          <a:gdLst/>
          <a:ahLst/>
          <a:cxnLst/>
          <a:rect l="0" t="0" r="0" b="0"/>
          <a:pathLst>
            <a:path w="708025">
              <a:moveTo>
                <a:pt x="0" y="0"/>
              </a:moveTo>
              <a:lnTo>
                <a:pt x="707752"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909</xdr:row>
      <xdr:rowOff>0</xdr:rowOff>
    </xdr:from>
    <xdr:to>
      <xdr:col>6</xdr:col>
      <xdr:colOff>739941</xdr:colOff>
      <xdr:row>909</xdr:row>
      <xdr:rowOff>0</xdr:rowOff>
    </xdr:to>
    <xdr:sp macro="" textlink="">
      <xdr:nvSpPr>
        <xdr:cNvPr id="8" name="Shape 4">
          <a:extLst>
            <a:ext uri="{FF2B5EF4-FFF2-40B4-BE49-F238E27FC236}">
              <a16:creationId xmlns:a16="http://schemas.microsoft.com/office/drawing/2014/main" id="{AB3FF4E7-1A96-4715-A6D8-2A70BEAF6154}"/>
            </a:ext>
          </a:extLst>
        </xdr:cNvPr>
        <xdr:cNvSpPr/>
      </xdr:nvSpPr>
      <xdr:spPr>
        <a:xfrm>
          <a:off x="6838950" y="43834050"/>
          <a:ext cx="722994" cy="0"/>
        </a:xfrm>
        <a:custGeom>
          <a:avLst/>
          <a:gdLst/>
          <a:ahLst/>
          <a:cxnLst/>
          <a:rect l="0" t="0" r="0" b="0"/>
          <a:pathLst>
            <a:path w="708025">
              <a:moveTo>
                <a:pt x="0" y="0"/>
              </a:moveTo>
              <a:lnTo>
                <a:pt x="707752"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909</xdr:row>
      <xdr:rowOff>0</xdr:rowOff>
    </xdr:from>
    <xdr:to>
      <xdr:col>6</xdr:col>
      <xdr:colOff>739941</xdr:colOff>
      <xdr:row>909</xdr:row>
      <xdr:rowOff>0</xdr:rowOff>
    </xdr:to>
    <xdr:sp macro="" textlink="">
      <xdr:nvSpPr>
        <xdr:cNvPr id="9" name="Shape 4">
          <a:extLst>
            <a:ext uri="{FF2B5EF4-FFF2-40B4-BE49-F238E27FC236}">
              <a16:creationId xmlns:a16="http://schemas.microsoft.com/office/drawing/2014/main" id="{8C5E3EEC-C018-4B80-8581-16CD18F8CB79}"/>
            </a:ext>
          </a:extLst>
        </xdr:cNvPr>
        <xdr:cNvSpPr/>
      </xdr:nvSpPr>
      <xdr:spPr>
        <a:xfrm>
          <a:off x="6838950" y="43834050"/>
          <a:ext cx="722994" cy="0"/>
        </a:xfrm>
        <a:custGeom>
          <a:avLst/>
          <a:gdLst/>
          <a:ahLst/>
          <a:cxnLst/>
          <a:rect l="0" t="0" r="0" b="0"/>
          <a:pathLst>
            <a:path w="708025">
              <a:moveTo>
                <a:pt x="0" y="0"/>
              </a:moveTo>
              <a:lnTo>
                <a:pt x="707752"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908</xdr:row>
      <xdr:rowOff>0</xdr:rowOff>
    </xdr:from>
    <xdr:to>
      <xdr:col>7</xdr:col>
      <xdr:colOff>755197</xdr:colOff>
      <xdr:row>908</xdr:row>
      <xdr:rowOff>0</xdr:rowOff>
    </xdr:to>
    <xdr:sp macro="" textlink="">
      <xdr:nvSpPr>
        <xdr:cNvPr id="10" name="Shape 3">
          <a:extLst>
            <a:ext uri="{FF2B5EF4-FFF2-40B4-BE49-F238E27FC236}">
              <a16:creationId xmlns:a16="http://schemas.microsoft.com/office/drawing/2014/main" id="{A5439D71-8774-48E0-8A3A-C6E21F04B0F2}"/>
            </a:ext>
          </a:extLst>
        </xdr:cNvPr>
        <xdr:cNvSpPr/>
      </xdr:nvSpPr>
      <xdr:spPr>
        <a:xfrm>
          <a:off x="6838950" y="43634025"/>
          <a:ext cx="1668236" cy="0"/>
        </a:xfrm>
        <a:custGeom>
          <a:avLst/>
          <a:gdLst/>
          <a:ahLst/>
          <a:cxnLst/>
          <a:rect l="0" t="0" r="0" b="0"/>
          <a:pathLst>
            <a:path w="1647825">
              <a:moveTo>
                <a:pt x="0" y="0"/>
              </a:moveTo>
              <a:lnTo>
                <a:pt x="1647355"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909</xdr:row>
      <xdr:rowOff>0</xdr:rowOff>
    </xdr:from>
    <xdr:to>
      <xdr:col>6</xdr:col>
      <xdr:colOff>739940</xdr:colOff>
      <xdr:row>909</xdr:row>
      <xdr:rowOff>0</xdr:rowOff>
    </xdr:to>
    <xdr:sp macro="" textlink="">
      <xdr:nvSpPr>
        <xdr:cNvPr id="11" name="Shape 4">
          <a:extLst>
            <a:ext uri="{FF2B5EF4-FFF2-40B4-BE49-F238E27FC236}">
              <a16:creationId xmlns:a16="http://schemas.microsoft.com/office/drawing/2014/main" id="{91EB49C9-E68A-47DD-BBD0-0DD93876A91A}"/>
            </a:ext>
          </a:extLst>
        </xdr:cNvPr>
        <xdr:cNvSpPr/>
      </xdr:nvSpPr>
      <xdr:spPr>
        <a:xfrm>
          <a:off x="6838950" y="43834050"/>
          <a:ext cx="722993" cy="0"/>
        </a:xfrm>
        <a:custGeom>
          <a:avLst/>
          <a:gdLst/>
          <a:ahLst/>
          <a:cxnLst/>
          <a:rect l="0" t="0" r="0" b="0"/>
          <a:pathLst>
            <a:path w="708025">
              <a:moveTo>
                <a:pt x="0" y="0"/>
              </a:moveTo>
              <a:lnTo>
                <a:pt x="707752"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909</xdr:row>
      <xdr:rowOff>0</xdr:rowOff>
    </xdr:from>
    <xdr:to>
      <xdr:col>6</xdr:col>
      <xdr:colOff>739940</xdr:colOff>
      <xdr:row>909</xdr:row>
      <xdr:rowOff>0</xdr:rowOff>
    </xdr:to>
    <xdr:sp macro="" textlink="">
      <xdr:nvSpPr>
        <xdr:cNvPr id="12" name="Shape 4">
          <a:extLst>
            <a:ext uri="{FF2B5EF4-FFF2-40B4-BE49-F238E27FC236}">
              <a16:creationId xmlns:a16="http://schemas.microsoft.com/office/drawing/2014/main" id="{87AF72F5-98F5-4D05-BA7D-C0D5CDF99D25}"/>
            </a:ext>
          </a:extLst>
        </xdr:cNvPr>
        <xdr:cNvSpPr/>
      </xdr:nvSpPr>
      <xdr:spPr>
        <a:xfrm>
          <a:off x="6838950" y="43834050"/>
          <a:ext cx="722993" cy="0"/>
        </a:xfrm>
        <a:custGeom>
          <a:avLst/>
          <a:gdLst/>
          <a:ahLst/>
          <a:cxnLst/>
          <a:rect l="0" t="0" r="0" b="0"/>
          <a:pathLst>
            <a:path w="708025">
              <a:moveTo>
                <a:pt x="0" y="0"/>
              </a:moveTo>
              <a:lnTo>
                <a:pt x="707752"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909</xdr:row>
      <xdr:rowOff>0</xdr:rowOff>
    </xdr:from>
    <xdr:to>
      <xdr:col>6</xdr:col>
      <xdr:colOff>732520</xdr:colOff>
      <xdr:row>909</xdr:row>
      <xdr:rowOff>0</xdr:rowOff>
    </xdr:to>
    <xdr:sp macro="" textlink="">
      <xdr:nvSpPr>
        <xdr:cNvPr id="13" name="Shape 4">
          <a:extLst>
            <a:ext uri="{FF2B5EF4-FFF2-40B4-BE49-F238E27FC236}">
              <a16:creationId xmlns:a16="http://schemas.microsoft.com/office/drawing/2014/main" id="{8CD6DB28-D4CE-43C9-84CC-3AD7A1072948}"/>
            </a:ext>
          </a:extLst>
        </xdr:cNvPr>
        <xdr:cNvSpPr/>
      </xdr:nvSpPr>
      <xdr:spPr>
        <a:xfrm>
          <a:off x="8696325" y="39547800"/>
          <a:ext cx="722995" cy="0"/>
        </a:xfrm>
        <a:custGeom>
          <a:avLst/>
          <a:gdLst/>
          <a:ahLst/>
          <a:cxnLst/>
          <a:rect l="0" t="0" r="0" b="0"/>
          <a:pathLst>
            <a:path w="708025">
              <a:moveTo>
                <a:pt x="0" y="0"/>
              </a:moveTo>
              <a:lnTo>
                <a:pt x="707752"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909</xdr:row>
      <xdr:rowOff>0</xdr:rowOff>
    </xdr:from>
    <xdr:to>
      <xdr:col>6</xdr:col>
      <xdr:colOff>732520</xdr:colOff>
      <xdr:row>909</xdr:row>
      <xdr:rowOff>0</xdr:rowOff>
    </xdr:to>
    <xdr:sp macro="" textlink="">
      <xdr:nvSpPr>
        <xdr:cNvPr id="14" name="Shape 4">
          <a:extLst>
            <a:ext uri="{FF2B5EF4-FFF2-40B4-BE49-F238E27FC236}">
              <a16:creationId xmlns:a16="http://schemas.microsoft.com/office/drawing/2014/main" id="{3D3FCB3A-BF6F-493A-A4E5-11920D8EB2CB}"/>
            </a:ext>
          </a:extLst>
        </xdr:cNvPr>
        <xdr:cNvSpPr/>
      </xdr:nvSpPr>
      <xdr:spPr>
        <a:xfrm>
          <a:off x="8696325" y="39547800"/>
          <a:ext cx="722995" cy="0"/>
        </a:xfrm>
        <a:custGeom>
          <a:avLst/>
          <a:gdLst/>
          <a:ahLst/>
          <a:cxnLst/>
          <a:rect l="0" t="0" r="0" b="0"/>
          <a:pathLst>
            <a:path w="708025">
              <a:moveTo>
                <a:pt x="0" y="0"/>
              </a:moveTo>
              <a:lnTo>
                <a:pt x="707752"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908</xdr:row>
      <xdr:rowOff>0</xdr:rowOff>
    </xdr:from>
    <xdr:to>
      <xdr:col>7</xdr:col>
      <xdr:colOff>753836</xdr:colOff>
      <xdr:row>908</xdr:row>
      <xdr:rowOff>0</xdr:rowOff>
    </xdr:to>
    <xdr:sp macro="" textlink="">
      <xdr:nvSpPr>
        <xdr:cNvPr id="15" name="Shape 3">
          <a:extLst>
            <a:ext uri="{FF2B5EF4-FFF2-40B4-BE49-F238E27FC236}">
              <a16:creationId xmlns:a16="http://schemas.microsoft.com/office/drawing/2014/main" id="{FE1779B6-BB86-4C5E-B625-FA9A7C63D8B7}"/>
            </a:ext>
          </a:extLst>
        </xdr:cNvPr>
        <xdr:cNvSpPr/>
      </xdr:nvSpPr>
      <xdr:spPr>
        <a:xfrm>
          <a:off x="8696325" y="39347775"/>
          <a:ext cx="1668236" cy="0"/>
        </a:xfrm>
        <a:custGeom>
          <a:avLst/>
          <a:gdLst/>
          <a:ahLst/>
          <a:cxnLst/>
          <a:rect l="0" t="0" r="0" b="0"/>
          <a:pathLst>
            <a:path w="1647825">
              <a:moveTo>
                <a:pt x="0" y="0"/>
              </a:moveTo>
              <a:lnTo>
                <a:pt x="1647355"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909</xdr:row>
      <xdr:rowOff>0</xdr:rowOff>
    </xdr:from>
    <xdr:to>
      <xdr:col>6</xdr:col>
      <xdr:colOff>732519</xdr:colOff>
      <xdr:row>909</xdr:row>
      <xdr:rowOff>0</xdr:rowOff>
    </xdr:to>
    <xdr:sp macro="" textlink="">
      <xdr:nvSpPr>
        <xdr:cNvPr id="16" name="Shape 4">
          <a:extLst>
            <a:ext uri="{FF2B5EF4-FFF2-40B4-BE49-F238E27FC236}">
              <a16:creationId xmlns:a16="http://schemas.microsoft.com/office/drawing/2014/main" id="{8D3DB90C-9AC1-4515-8AC6-8E4D865F301C}"/>
            </a:ext>
          </a:extLst>
        </xdr:cNvPr>
        <xdr:cNvSpPr/>
      </xdr:nvSpPr>
      <xdr:spPr>
        <a:xfrm>
          <a:off x="8696325" y="39547800"/>
          <a:ext cx="722994" cy="0"/>
        </a:xfrm>
        <a:custGeom>
          <a:avLst/>
          <a:gdLst/>
          <a:ahLst/>
          <a:cxnLst/>
          <a:rect l="0" t="0" r="0" b="0"/>
          <a:pathLst>
            <a:path w="708025">
              <a:moveTo>
                <a:pt x="0" y="0"/>
              </a:moveTo>
              <a:lnTo>
                <a:pt x="707752"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909</xdr:row>
      <xdr:rowOff>0</xdr:rowOff>
    </xdr:from>
    <xdr:to>
      <xdr:col>6</xdr:col>
      <xdr:colOff>732519</xdr:colOff>
      <xdr:row>909</xdr:row>
      <xdr:rowOff>0</xdr:rowOff>
    </xdr:to>
    <xdr:sp macro="" textlink="">
      <xdr:nvSpPr>
        <xdr:cNvPr id="17" name="Shape 4">
          <a:extLst>
            <a:ext uri="{FF2B5EF4-FFF2-40B4-BE49-F238E27FC236}">
              <a16:creationId xmlns:a16="http://schemas.microsoft.com/office/drawing/2014/main" id="{9215A84E-770D-4AA3-AE5D-CEB0C6B3F25E}"/>
            </a:ext>
          </a:extLst>
        </xdr:cNvPr>
        <xdr:cNvSpPr/>
      </xdr:nvSpPr>
      <xdr:spPr>
        <a:xfrm>
          <a:off x="8696325" y="39547800"/>
          <a:ext cx="722994" cy="0"/>
        </a:xfrm>
        <a:custGeom>
          <a:avLst/>
          <a:gdLst/>
          <a:ahLst/>
          <a:cxnLst/>
          <a:rect l="0" t="0" r="0" b="0"/>
          <a:pathLst>
            <a:path w="708025">
              <a:moveTo>
                <a:pt x="0" y="0"/>
              </a:moveTo>
              <a:lnTo>
                <a:pt x="707752" y="0"/>
              </a:lnTo>
            </a:path>
          </a:pathLst>
        </a:custGeom>
        <a:ln w="3175">
          <a:solidFill>
            <a:srgbClr val="000000"/>
          </a:solidFill>
        </a:ln>
      </xdr:spPr>
      <xdr:txBody>
        <a:bodyPr/>
        <a:lstStyle/>
        <a:p>
          <a:endParaRPr lang="ru-RU"/>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303934</xdr:colOff>
      <xdr:row>70</xdr:row>
      <xdr:rowOff>207819</xdr:rowOff>
    </xdr:from>
    <xdr:to>
      <xdr:col>26</xdr:col>
      <xdr:colOff>317018</xdr:colOff>
      <xdr:row>70</xdr:row>
      <xdr:rowOff>217344</xdr:rowOff>
    </xdr:to>
    <xdr:sp macro="" textlink="">
      <xdr:nvSpPr>
        <xdr:cNvPr id="2" name="Shape 4">
          <a:extLst>
            <a:ext uri="{FF2B5EF4-FFF2-40B4-BE49-F238E27FC236}">
              <a16:creationId xmlns:a16="http://schemas.microsoft.com/office/drawing/2014/main" id="{C31C0E7E-A127-4512-A067-0BB43425364C}"/>
            </a:ext>
          </a:extLst>
        </xdr:cNvPr>
        <xdr:cNvSpPr/>
      </xdr:nvSpPr>
      <xdr:spPr>
        <a:xfrm>
          <a:off x="14572384" y="23258319"/>
          <a:ext cx="4396440" cy="0"/>
        </a:xfrm>
        <a:custGeom>
          <a:avLst/>
          <a:gdLst/>
          <a:ahLst/>
          <a:cxnLst/>
          <a:rect l="0" t="0" r="0" b="0"/>
          <a:pathLst>
            <a:path w="708025">
              <a:moveTo>
                <a:pt x="0" y="0"/>
              </a:moveTo>
              <a:lnTo>
                <a:pt x="707752" y="0"/>
              </a:lnTo>
            </a:path>
          </a:pathLst>
        </a:custGeom>
        <a:ln w="3175">
          <a:solidFill>
            <a:srgbClr val="000000"/>
          </a:solidFill>
        </a:ln>
      </xdr:spPr>
      <xdr:txBody>
        <a:bodyPr/>
        <a:lstStyle/>
        <a:p>
          <a:endParaRPr lang="ru-RU"/>
        </a:p>
      </xdr:txBody>
    </xdr:sp>
    <xdr:clientData/>
  </xdr:twoCellAnchor>
  <xdr:twoCellAnchor editAs="oneCell">
    <xdr:from>
      <xdr:col>6</xdr:col>
      <xdr:colOff>303934</xdr:colOff>
      <xdr:row>70</xdr:row>
      <xdr:rowOff>207819</xdr:rowOff>
    </xdr:from>
    <xdr:to>
      <xdr:col>26</xdr:col>
      <xdr:colOff>317018</xdr:colOff>
      <xdr:row>70</xdr:row>
      <xdr:rowOff>217344</xdr:rowOff>
    </xdr:to>
    <xdr:sp macro="" textlink="">
      <xdr:nvSpPr>
        <xdr:cNvPr id="3" name="Shape 4">
          <a:extLst>
            <a:ext uri="{FF2B5EF4-FFF2-40B4-BE49-F238E27FC236}">
              <a16:creationId xmlns:a16="http://schemas.microsoft.com/office/drawing/2014/main" id="{793BD504-24D4-4E7F-8A0C-4B48B6C7ED9E}"/>
            </a:ext>
          </a:extLst>
        </xdr:cNvPr>
        <xdr:cNvSpPr/>
      </xdr:nvSpPr>
      <xdr:spPr>
        <a:xfrm>
          <a:off x="12162559" y="17019444"/>
          <a:ext cx="4396440" cy="9525"/>
        </a:xfrm>
        <a:custGeom>
          <a:avLst/>
          <a:gdLst/>
          <a:ahLst/>
          <a:cxnLst/>
          <a:rect l="0" t="0" r="0" b="0"/>
          <a:pathLst>
            <a:path w="708025">
              <a:moveTo>
                <a:pt x="0" y="0"/>
              </a:moveTo>
              <a:lnTo>
                <a:pt x="707752" y="0"/>
              </a:lnTo>
            </a:path>
          </a:pathLst>
        </a:custGeom>
        <a:ln w="3175">
          <a:solidFill>
            <a:srgbClr val="000000"/>
          </a:solidFill>
        </a:ln>
      </xdr:spPr>
      <xdr:txBody>
        <a:bodyPr/>
        <a:lstStyle/>
        <a:p>
          <a:endParaRPr lang="ru-RU"/>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304800</xdr:colOff>
      <xdr:row>5</xdr:row>
      <xdr:rowOff>621021</xdr:rowOff>
    </xdr:to>
    <xdr:sp macro="" textlink="">
      <xdr:nvSpPr>
        <xdr:cNvPr id="2"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0D2A44FF-9683-4E28-BB01-BD6800C0D70F}"/>
            </a:ext>
          </a:extLst>
        </xdr:cNvPr>
        <xdr:cNvSpPr>
          <a:spLocks noChangeAspect="1" noChangeArrowheads="1"/>
        </xdr:cNvSpPr>
      </xdr:nvSpPr>
      <xdr:spPr bwMode="auto">
        <a:xfrm>
          <a:off x="4695825" y="29022675"/>
          <a:ext cx="30480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304800</xdr:colOff>
      <xdr:row>4</xdr:row>
      <xdr:rowOff>200309</xdr:rowOff>
    </xdr:to>
    <xdr:sp macro="" textlink="">
      <xdr:nvSpPr>
        <xdr:cNvPr id="3"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F966B6CA-7A70-4116-84A4-D3792A1B7380}"/>
            </a:ext>
          </a:extLst>
        </xdr:cNvPr>
        <xdr:cNvSpPr>
          <a:spLocks noChangeAspect="1" noChangeArrowheads="1"/>
        </xdr:cNvSpPr>
      </xdr:nvSpPr>
      <xdr:spPr bwMode="auto">
        <a:xfrm>
          <a:off x="4695825" y="29651325"/>
          <a:ext cx="3048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304800</xdr:colOff>
      <xdr:row>3</xdr:row>
      <xdr:rowOff>313045</xdr:rowOff>
    </xdr:to>
    <xdr:sp macro="" textlink="">
      <xdr:nvSpPr>
        <xdr:cNvPr id="4"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41297965-6ED3-4624-A419-AD88F8E96C60}"/>
            </a:ext>
          </a:extLst>
        </xdr:cNvPr>
        <xdr:cNvSpPr>
          <a:spLocks noChangeAspect="1" noChangeArrowheads="1"/>
        </xdr:cNvSpPr>
      </xdr:nvSpPr>
      <xdr:spPr bwMode="auto">
        <a:xfrm>
          <a:off x="4695825" y="29441775"/>
          <a:ext cx="304800" cy="476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9525</xdr:colOff>
      <xdr:row>191</xdr:row>
      <xdr:rowOff>0</xdr:rowOff>
    </xdr:from>
    <xdr:to>
      <xdr:col>9</xdr:col>
      <xdr:colOff>141970</xdr:colOff>
      <xdr:row>191</xdr:row>
      <xdr:rowOff>0</xdr:rowOff>
    </xdr:to>
    <xdr:sp macro="" textlink="">
      <xdr:nvSpPr>
        <xdr:cNvPr id="3" name="Shape 4">
          <a:extLst>
            <a:ext uri="{FF2B5EF4-FFF2-40B4-BE49-F238E27FC236}">
              <a16:creationId xmlns:a16="http://schemas.microsoft.com/office/drawing/2014/main" id="{E16D133B-663B-47B7-B115-CFFFC426F245}"/>
            </a:ext>
          </a:extLst>
        </xdr:cNvPr>
        <xdr:cNvSpPr/>
      </xdr:nvSpPr>
      <xdr:spPr>
        <a:xfrm>
          <a:off x="2832652" y="9551373"/>
          <a:ext cx="708025" cy="0"/>
        </a:xfrm>
        <a:custGeom>
          <a:avLst/>
          <a:gdLst/>
          <a:ahLst/>
          <a:cxnLst/>
          <a:rect l="0" t="0" r="0" b="0"/>
          <a:pathLst>
            <a:path w="708025">
              <a:moveTo>
                <a:pt x="0" y="0"/>
              </a:moveTo>
              <a:lnTo>
                <a:pt x="707752"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191</xdr:row>
      <xdr:rowOff>0</xdr:rowOff>
    </xdr:from>
    <xdr:to>
      <xdr:col>9</xdr:col>
      <xdr:colOff>141970</xdr:colOff>
      <xdr:row>191</xdr:row>
      <xdr:rowOff>0</xdr:rowOff>
    </xdr:to>
    <xdr:sp macro="" textlink="">
      <xdr:nvSpPr>
        <xdr:cNvPr id="5" name="Shape 4">
          <a:extLst>
            <a:ext uri="{FF2B5EF4-FFF2-40B4-BE49-F238E27FC236}">
              <a16:creationId xmlns:a16="http://schemas.microsoft.com/office/drawing/2014/main" id="{EE94F71E-DA30-4033-875E-177B352FC08F}"/>
            </a:ext>
          </a:extLst>
        </xdr:cNvPr>
        <xdr:cNvSpPr/>
      </xdr:nvSpPr>
      <xdr:spPr>
        <a:xfrm>
          <a:off x="2832652" y="9551373"/>
          <a:ext cx="708025" cy="0"/>
        </a:xfrm>
        <a:custGeom>
          <a:avLst/>
          <a:gdLst/>
          <a:ahLst/>
          <a:cxnLst/>
          <a:rect l="0" t="0" r="0" b="0"/>
          <a:pathLst>
            <a:path w="708025">
              <a:moveTo>
                <a:pt x="0" y="0"/>
              </a:moveTo>
              <a:lnTo>
                <a:pt x="707752"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190</xdr:row>
      <xdr:rowOff>0</xdr:rowOff>
    </xdr:from>
    <xdr:to>
      <xdr:col>22</xdr:col>
      <xdr:colOff>506186</xdr:colOff>
      <xdr:row>190</xdr:row>
      <xdr:rowOff>0</xdr:rowOff>
    </xdr:to>
    <xdr:sp macro="" textlink="">
      <xdr:nvSpPr>
        <xdr:cNvPr id="6" name="Shape 3">
          <a:extLst>
            <a:ext uri="{FF2B5EF4-FFF2-40B4-BE49-F238E27FC236}">
              <a16:creationId xmlns:a16="http://schemas.microsoft.com/office/drawing/2014/main" id="{6E1FC8FF-F39B-4E01-8D06-4E2DE4AD86AE}"/>
            </a:ext>
          </a:extLst>
        </xdr:cNvPr>
        <xdr:cNvSpPr/>
      </xdr:nvSpPr>
      <xdr:spPr>
        <a:xfrm>
          <a:off x="7553325" y="51054000"/>
          <a:ext cx="1668236" cy="0"/>
        </a:xfrm>
        <a:custGeom>
          <a:avLst/>
          <a:gdLst/>
          <a:ahLst/>
          <a:cxnLst/>
          <a:rect l="0" t="0" r="0" b="0"/>
          <a:pathLst>
            <a:path w="1647825">
              <a:moveTo>
                <a:pt x="0" y="0"/>
              </a:moveTo>
              <a:lnTo>
                <a:pt x="1647355"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191</xdr:row>
      <xdr:rowOff>0</xdr:rowOff>
    </xdr:from>
    <xdr:to>
      <xdr:col>9</xdr:col>
      <xdr:colOff>141969</xdr:colOff>
      <xdr:row>191</xdr:row>
      <xdr:rowOff>0</xdr:rowOff>
    </xdr:to>
    <xdr:sp macro="" textlink="">
      <xdr:nvSpPr>
        <xdr:cNvPr id="7" name="Shape 4">
          <a:extLst>
            <a:ext uri="{FF2B5EF4-FFF2-40B4-BE49-F238E27FC236}">
              <a16:creationId xmlns:a16="http://schemas.microsoft.com/office/drawing/2014/main" id="{6B15A341-8CC9-47FC-858E-7676524A8A0C}"/>
            </a:ext>
          </a:extLst>
        </xdr:cNvPr>
        <xdr:cNvSpPr/>
      </xdr:nvSpPr>
      <xdr:spPr>
        <a:xfrm>
          <a:off x="7553325" y="51254025"/>
          <a:ext cx="722993" cy="0"/>
        </a:xfrm>
        <a:custGeom>
          <a:avLst/>
          <a:gdLst/>
          <a:ahLst/>
          <a:cxnLst/>
          <a:rect l="0" t="0" r="0" b="0"/>
          <a:pathLst>
            <a:path w="708025">
              <a:moveTo>
                <a:pt x="0" y="0"/>
              </a:moveTo>
              <a:lnTo>
                <a:pt x="707752"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191</xdr:row>
      <xdr:rowOff>0</xdr:rowOff>
    </xdr:from>
    <xdr:to>
      <xdr:col>9</xdr:col>
      <xdr:colOff>141969</xdr:colOff>
      <xdr:row>191</xdr:row>
      <xdr:rowOff>0</xdr:rowOff>
    </xdr:to>
    <xdr:sp macro="" textlink="">
      <xdr:nvSpPr>
        <xdr:cNvPr id="8" name="Shape 4">
          <a:extLst>
            <a:ext uri="{FF2B5EF4-FFF2-40B4-BE49-F238E27FC236}">
              <a16:creationId xmlns:a16="http://schemas.microsoft.com/office/drawing/2014/main" id="{58ECA59E-69BF-4A14-A796-EC219E601E32}"/>
            </a:ext>
          </a:extLst>
        </xdr:cNvPr>
        <xdr:cNvSpPr/>
      </xdr:nvSpPr>
      <xdr:spPr>
        <a:xfrm>
          <a:off x="7553325" y="51254025"/>
          <a:ext cx="722993" cy="0"/>
        </a:xfrm>
        <a:custGeom>
          <a:avLst/>
          <a:gdLst/>
          <a:ahLst/>
          <a:cxnLst/>
          <a:rect l="0" t="0" r="0" b="0"/>
          <a:pathLst>
            <a:path w="708025">
              <a:moveTo>
                <a:pt x="0" y="0"/>
              </a:moveTo>
              <a:lnTo>
                <a:pt x="707752"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190</xdr:row>
      <xdr:rowOff>0</xdr:rowOff>
    </xdr:from>
    <xdr:to>
      <xdr:col>9</xdr:col>
      <xdr:colOff>141970</xdr:colOff>
      <xdr:row>190</xdr:row>
      <xdr:rowOff>0</xdr:rowOff>
    </xdr:to>
    <xdr:sp macro="" textlink="">
      <xdr:nvSpPr>
        <xdr:cNvPr id="9" name="Shape 4">
          <a:extLst>
            <a:ext uri="{FF2B5EF4-FFF2-40B4-BE49-F238E27FC236}">
              <a16:creationId xmlns:a16="http://schemas.microsoft.com/office/drawing/2014/main" id="{B01A4DF6-4A98-4E87-B8CA-22070D0FBC3B}"/>
            </a:ext>
          </a:extLst>
        </xdr:cNvPr>
        <xdr:cNvSpPr/>
      </xdr:nvSpPr>
      <xdr:spPr>
        <a:xfrm>
          <a:off x="8696325" y="39347775"/>
          <a:ext cx="722995" cy="0"/>
        </a:xfrm>
        <a:custGeom>
          <a:avLst/>
          <a:gdLst/>
          <a:ahLst/>
          <a:cxnLst/>
          <a:rect l="0" t="0" r="0" b="0"/>
          <a:pathLst>
            <a:path w="708025">
              <a:moveTo>
                <a:pt x="0" y="0"/>
              </a:moveTo>
              <a:lnTo>
                <a:pt x="707752"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190</xdr:row>
      <xdr:rowOff>0</xdr:rowOff>
    </xdr:from>
    <xdr:to>
      <xdr:col>9</xdr:col>
      <xdr:colOff>141970</xdr:colOff>
      <xdr:row>190</xdr:row>
      <xdr:rowOff>0</xdr:rowOff>
    </xdr:to>
    <xdr:sp macro="" textlink="">
      <xdr:nvSpPr>
        <xdr:cNvPr id="10" name="Shape 4">
          <a:extLst>
            <a:ext uri="{FF2B5EF4-FFF2-40B4-BE49-F238E27FC236}">
              <a16:creationId xmlns:a16="http://schemas.microsoft.com/office/drawing/2014/main" id="{EBC66A30-6B61-4898-A30D-F3FF157398E3}"/>
            </a:ext>
          </a:extLst>
        </xdr:cNvPr>
        <xdr:cNvSpPr/>
      </xdr:nvSpPr>
      <xdr:spPr>
        <a:xfrm>
          <a:off x="8696325" y="39347775"/>
          <a:ext cx="722995" cy="0"/>
        </a:xfrm>
        <a:custGeom>
          <a:avLst/>
          <a:gdLst/>
          <a:ahLst/>
          <a:cxnLst/>
          <a:rect l="0" t="0" r="0" b="0"/>
          <a:pathLst>
            <a:path w="708025">
              <a:moveTo>
                <a:pt x="0" y="0"/>
              </a:moveTo>
              <a:lnTo>
                <a:pt x="707752"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189</xdr:row>
      <xdr:rowOff>0</xdr:rowOff>
    </xdr:from>
    <xdr:to>
      <xdr:col>22</xdr:col>
      <xdr:colOff>506186</xdr:colOff>
      <xdr:row>189</xdr:row>
      <xdr:rowOff>0</xdr:rowOff>
    </xdr:to>
    <xdr:sp macro="" textlink="">
      <xdr:nvSpPr>
        <xdr:cNvPr id="11" name="Shape 3">
          <a:extLst>
            <a:ext uri="{FF2B5EF4-FFF2-40B4-BE49-F238E27FC236}">
              <a16:creationId xmlns:a16="http://schemas.microsoft.com/office/drawing/2014/main" id="{003C006F-3C60-4C56-865E-63EFF4184CAB}"/>
            </a:ext>
          </a:extLst>
        </xdr:cNvPr>
        <xdr:cNvSpPr/>
      </xdr:nvSpPr>
      <xdr:spPr>
        <a:xfrm>
          <a:off x="8696325" y="39147750"/>
          <a:ext cx="1668236" cy="0"/>
        </a:xfrm>
        <a:custGeom>
          <a:avLst/>
          <a:gdLst/>
          <a:ahLst/>
          <a:cxnLst/>
          <a:rect l="0" t="0" r="0" b="0"/>
          <a:pathLst>
            <a:path w="1647825">
              <a:moveTo>
                <a:pt x="0" y="0"/>
              </a:moveTo>
              <a:lnTo>
                <a:pt x="1647355"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190</xdr:row>
      <xdr:rowOff>0</xdr:rowOff>
    </xdr:from>
    <xdr:to>
      <xdr:col>9</xdr:col>
      <xdr:colOff>141969</xdr:colOff>
      <xdr:row>190</xdr:row>
      <xdr:rowOff>0</xdr:rowOff>
    </xdr:to>
    <xdr:sp macro="" textlink="">
      <xdr:nvSpPr>
        <xdr:cNvPr id="12" name="Shape 4">
          <a:extLst>
            <a:ext uri="{FF2B5EF4-FFF2-40B4-BE49-F238E27FC236}">
              <a16:creationId xmlns:a16="http://schemas.microsoft.com/office/drawing/2014/main" id="{86AC665F-64D6-4B4B-B094-EF6C8D9E67C4}"/>
            </a:ext>
          </a:extLst>
        </xdr:cNvPr>
        <xdr:cNvSpPr/>
      </xdr:nvSpPr>
      <xdr:spPr>
        <a:xfrm>
          <a:off x="8696325" y="39347775"/>
          <a:ext cx="722994" cy="0"/>
        </a:xfrm>
        <a:custGeom>
          <a:avLst/>
          <a:gdLst/>
          <a:ahLst/>
          <a:cxnLst/>
          <a:rect l="0" t="0" r="0" b="0"/>
          <a:pathLst>
            <a:path w="708025">
              <a:moveTo>
                <a:pt x="0" y="0"/>
              </a:moveTo>
              <a:lnTo>
                <a:pt x="707752"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190</xdr:row>
      <xdr:rowOff>0</xdr:rowOff>
    </xdr:from>
    <xdr:to>
      <xdr:col>9</xdr:col>
      <xdr:colOff>141969</xdr:colOff>
      <xdr:row>190</xdr:row>
      <xdr:rowOff>0</xdr:rowOff>
    </xdr:to>
    <xdr:sp macro="" textlink="">
      <xdr:nvSpPr>
        <xdr:cNvPr id="13" name="Shape 4">
          <a:extLst>
            <a:ext uri="{FF2B5EF4-FFF2-40B4-BE49-F238E27FC236}">
              <a16:creationId xmlns:a16="http://schemas.microsoft.com/office/drawing/2014/main" id="{7DB86F2A-82AC-4E8B-B550-0570F65611DE}"/>
            </a:ext>
          </a:extLst>
        </xdr:cNvPr>
        <xdr:cNvSpPr/>
      </xdr:nvSpPr>
      <xdr:spPr>
        <a:xfrm>
          <a:off x="8696325" y="39347775"/>
          <a:ext cx="722994" cy="0"/>
        </a:xfrm>
        <a:custGeom>
          <a:avLst/>
          <a:gdLst/>
          <a:ahLst/>
          <a:cxnLst/>
          <a:rect l="0" t="0" r="0" b="0"/>
          <a:pathLst>
            <a:path w="708025">
              <a:moveTo>
                <a:pt x="0" y="0"/>
              </a:moveTo>
              <a:lnTo>
                <a:pt x="707752" y="0"/>
              </a:lnTo>
            </a:path>
          </a:pathLst>
        </a:custGeom>
        <a:ln w="3175">
          <a:solidFill>
            <a:srgbClr val="000000"/>
          </a:solidFill>
        </a:ln>
      </xdr:spPr>
      <xdr:txBody>
        <a:bodyPr/>
        <a:lstStyle/>
        <a:p>
          <a:endParaRPr lang="ru-RU"/>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30</xdr:row>
      <xdr:rowOff>0</xdr:rowOff>
    </xdr:from>
    <xdr:to>
      <xdr:col>2</xdr:col>
      <xdr:colOff>304800</xdr:colOff>
      <xdr:row>72</xdr:row>
      <xdr:rowOff>49888</xdr:rowOff>
    </xdr:to>
    <xdr:sp macro="" textlink="">
      <xdr:nvSpPr>
        <xdr:cNvPr id="2"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8BF44668-8F47-40C1-B416-CF3DA64246B4}"/>
            </a:ext>
          </a:extLst>
        </xdr:cNvPr>
        <xdr:cNvSpPr>
          <a:spLocks noChangeAspect="1" noChangeArrowheads="1"/>
        </xdr:cNvSpPr>
      </xdr:nvSpPr>
      <xdr:spPr bwMode="auto">
        <a:xfrm>
          <a:off x="3248025" y="56921400"/>
          <a:ext cx="304800" cy="261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30</xdr:row>
      <xdr:rowOff>0</xdr:rowOff>
    </xdr:from>
    <xdr:to>
      <xdr:col>2</xdr:col>
      <xdr:colOff>304800</xdr:colOff>
      <xdr:row>71</xdr:row>
      <xdr:rowOff>138335</xdr:rowOff>
    </xdr:to>
    <xdr:sp macro="" textlink="">
      <xdr:nvSpPr>
        <xdr:cNvPr id="3" name="AutoShape 4" descr="Зубило по металлу &quot;FatMax™&quot; STANLEY 4-18-332">
          <a:hlinkClick xmlns:r="http://schemas.openxmlformats.org/officeDocument/2006/relationships" r:id="rId2"/>
          <a:extLst>
            <a:ext uri="{FF2B5EF4-FFF2-40B4-BE49-F238E27FC236}">
              <a16:creationId xmlns:a16="http://schemas.microsoft.com/office/drawing/2014/main" id="{81F4047B-86BE-4C5C-93D6-296B1A91743C}"/>
            </a:ext>
          </a:extLst>
        </xdr:cNvPr>
        <xdr:cNvSpPr>
          <a:spLocks noChangeAspect="1" noChangeArrowheads="1"/>
        </xdr:cNvSpPr>
      </xdr:nvSpPr>
      <xdr:spPr bwMode="auto">
        <a:xfrm>
          <a:off x="3248025" y="56921400"/>
          <a:ext cx="304800" cy="2460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30</xdr:row>
      <xdr:rowOff>0</xdr:rowOff>
    </xdr:from>
    <xdr:to>
      <xdr:col>2</xdr:col>
      <xdr:colOff>304800</xdr:colOff>
      <xdr:row>71</xdr:row>
      <xdr:rowOff>181958</xdr:rowOff>
    </xdr:to>
    <xdr:sp macro="" textlink="">
      <xdr:nvSpPr>
        <xdr:cNvPr id="4"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5D3A5A23-56FB-41DC-86CA-0673C23AD59C}"/>
            </a:ext>
          </a:extLst>
        </xdr:cNvPr>
        <xdr:cNvSpPr>
          <a:spLocks noChangeAspect="1" noChangeArrowheads="1"/>
        </xdr:cNvSpPr>
      </xdr:nvSpPr>
      <xdr:spPr bwMode="auto">
        <a:xfrm>
          <a:off x="3248025" y="56921400"/>
          <a:ext cx="304800" cy="2494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30</xdr:row>
      <xdr:rowOff>0</xdr:rowOff>
    </xdr:from>
    <xdr:to>
      <xdr:col>2</xdr:col>
      <xdr:colOff>304800</xdr:colOff>
      <xdr:row>72</xdr:row>
      <xdr:rowOff>65102</xdr:rowOff>
    </xdr:to>
    <xdr:sp macro="" textlink="">
      <xdr:nvSpPr>
        <xdr:cNvPr id="5" name="AutoShape 4" descr="Зубило по металлу &quot;FatMax™&quot; STANLEY 4-18-332">
          <a:hlinkClick xmlns:r="http://schemas.openxmlformats.org/officeDocument/2006/relationships" r:id="rId2"/>
          <a:extLst>
            <a:ext uri="{FF2B5EF4-FFF2-40B4-BE49-F238E27FC236}">
              <a16:creationId xmlns:a16="http://schemas.microsoft.com/office/drawing/2014/main" id="{3ED4B2CA-19D3-4EF0-A215-24A7528805D8}"/>
            </a:ext>
          </a:extLst>
        </xdr:cNvPr>
        <xdr:cNvSpPr>
          <a:spLocks noChangeAspect="1" noChangeArrowheads="1"/>
        </xdr:cNvSpPr>
      </xdr:nvSpPr>
      <xdr:spPr bwMode="auto">
        <a:xfrm>
          <a:off x="3248025" y="56921400"/>
          <a:ext cx="304800" cy="26275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30</xdr:row>
      <xdr:rowOff>0</xdr:rowOff>
    </xdr:from>
    <xdr:to>
      <xdr:col>2</xdr:col>
      <xdr:colOff>304800</xdr:colOff>
      <xdr:row>69</xdr:row>
      <xdr:rowOff>357491</xdr:rowOff>
    </xdr:to>
    <xdr:sp macro="" textlink="">
      <xdr:nvSpPr>
        <xdr:cNvPr id="6"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6EA6A285-2D87-4E27-89B9-80E6F52CD8DB}"/>
            </a:ext>
          </a:extLst>
        </xdr:cNvPr>
        <xdr:cNvSpPr>
          <a:spLocks noChangeAspect="1" noChangeArrowheads="1"/>
        </xdr:cNvSpPr>
      </xdr:nvSpPr>
      <xdr:spPr bwMode="auto">
        <a:xfrm>
          <a:off x="3248025" y="56921400"/>
          <a:ext cx="304800" cy="20533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22</xdr:row>
      <xdr:rowOff>0</xdr:rowOff>
    </xdr:from>
    <xdr:to>
      <xdr:col>2</xdr:col>
      <xdr:colOff>304800</xdr:colOff>
      <xdr:row>24</xdr:row>
      <xdr:rowOff>2079810</xdr:rowOff>
    </xdr:to>
    <xdr:sp macro="" textlink="">
      <xdr:nvSpPr>
        <xdr:cNvPr id="7"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B62B9715-74D1-432A-9309-C0CF71833F91}"/>
            </a:ext>
          </a:extLst>
        </xdr:cNvPr>
        <xdr:cNvSpPr>
          <a:spLocks noChangeAspect="1" noChangeArrowheads="1"/>
        </xdr:cNvSpPr>
      </xdr:nvSpPr>
      <xdr:spPr bwMode="auto">
        <a:xfrm>
          <a:off x="4667250" y="46586775"/>
          <a:ext cx="304800" cy="2600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22</xdr:row>
      <xdr:rowOff>0</xdr:rowOff>
    </xdr:from>
    <xdr:to>
      <xdr:col>2</xdr:col>
      <xdr:colOff>304800</xdr:colOff>
      <xdr:row>24</xdr:row>
      <xdr:rowOff>1920606</xdr:rowOff>
    </xdr:to>
    <xdr:sp macro="" textlink="">
      <xdr:nvSpPr>
        <xdr:cNvPr id="8" name="AutoShape 4" descr="Зубило по металлу &quot;FatMax™&quot; STANLEY 4-18-332">
          <a:hlinkClick xmlns:r="http://schemas.openxmlformats.org/officeDocument/2006/relationships" r:id="rId2"/>
          <a:extLst>
            <a:ext uri="{FF2B5EF4-FFF2-40B4-BE49-F238E27FC236}">
              <a16:creationId xmlns:a16="http://schemas.microsoft.com/office/drawing/2014/main" id="{D8C6E92D-C9A8-4A0B-91DB-3841DA6444FD}"/>
            </a:ext>
          </a:extLst>
        </xdr:cNvPr>
        <xdr:cNvSpPr>
          <a:spLocks noChangeAspect="1" noChangeArrowheads="1"/>
        </xdr:cNvSpPr>
      </xdr:nvSpPr>
      <xdr:spPr bwMode="auto">
        <a:xfrm>
          <a:off x="4667250" y="46586775"/>
          <a:ext cx="304800" cy="24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22</xdr:row>
      <xdr:rowOff>0</xdr:rowOff>
    </xdr:from>
    <xdr:to>
      <xdr:col>2</xdr:col>
      <xdr:colOff>304800</xdr:colOff>
      <xdr:row>24</xdr:row>
      <xdr:rowOff>1954624</xdr:rowOff>
    </xdr:to>
    <xdr:sp macro="" textlink="">
      <xdr:nvSpPr>
        <xdr:cNvPr id="9"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C67CCA1A-8E64-4EF4-A04F-EE16CFC899E5}"/>
            </a:ext>
          </a:extLst>
        </xdr:cNvPr>
        <xdr:cNvSpPr>
          <a:spLocks noChangeAspect="1" noChangeArrowheads="1"/>
        </xdr:cNvSpPr>
      </xdr:nvSpPr>
      <xdr:spPr bwMode="auto">
        <a:xfrm>
          <a:off x="4667250" y="46586775"/>
          <a:ext cx="304800" cy="2475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22</xdr:row>
      <xdr:rowOff>0</xdr:rowOff>
    </xdr:from>
    <xdr:to>
      <xdr:col>2</xdr:col>
      <xdr:colOff>304800</xdr:colOff>
      <xdr:row>24</xdr:row>
      <xdr:rowOff>2087974</xdr:rowOff>
    </xdr:to>
    <xdr:sp macro="" textlink="">
      <xdr:nvSpPr>
        <xdr:cNvPr id="10" name="AutoShape 4" descr="Зубило по металлу &quot;FatMax™&quot; STANLEY 4-18-332">
          <a:hlinkClick xmlns:r="http://schemas.openxmlformats.org/officeDocument/2006/relationships" r:id="rId2"/>
          <a:extLst>
            <a:ext uri="{FF2B5EF4-FFF2-40B4-BE49-F238E27FC236}">
              <a16:creationId xmlns:a16="http://schemas.microsoft.com/office/drawing/2014/main" id="{2E7058B5-D2D0-4226-84A8-DF414730BFDC}"/>
            </a:ext>
          </a:extLst>
        </xdr:cNvPr>
        <xdr:cNvSpPr>
          <a:spLocks noChangeAspect="1" noChangeArrowheads="1"/>
        </xdr:cNvSpPr>
      </xdr:nvSpPr>
      <xdr:spPr bwMode="auto">
        <a:xfrm>
          <a:off x="4667250" y="46586775"/>
          <a:ext cx="304800" cy="2608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22</xdr:row>
      <xdr:rowOff>0</xdr:rowOff>
    </xdr:from>
    <xdr:to>
      <xdr:col>2</xdr:col>
      <xdr:colOff>304800</xdr:colOff>
      <xdr:row>24</xdr:row>
      <xdr:rowOff>1522533</xdr:rowOff>
    </xdr:to>
    <xdr:sp macro="" textlink="">
      <xdr:nvSpPr>
        <xdr:cNvPr id="11"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65C9F2CB-7ADE-4734-827E-650B24E01908}"/>
            </a:ext>
          </a:extLst>
        </xdr:cNvPr>
        <xdr:cNvSpPr>
          <a:spLocks noChangeAspect="1" noChangeArrowheads="1"/>
        </xdr:cNvSpPr>
      </xdr:nvSpPr>
      <xdr:spPr bwMode="auto">
        <a:xfrm>
          <a:off x="4667250" y="46586775"/>
          <a:ext cx="304800" cy="203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22</xdr:row>
      <xdr:rowOff>0</xdr:rowOff>
    </xdr:from>
    <xdr:to>
      <xdr:col>2</xdr:col>
      <xdr:colOff>304800</xdr:colOff>
      <xdr:row>24</xdr:row>
      <xdr:rowOff>3088609</xdr:rowOff>
    </xdr:to>
    <xdr:sp macro="" textlink="">
      <xdr:nvSpPr>
        <xdr:cNvPr id="12"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9F5FBC41-06C5-4A69-8032-4A76B8C0FA1E}"/>
            </a:ext>
          </a:extLst>
        </xdr:cNvPr>
        <xdr:cNvSpPr>
          <a:spLocks noChangeAspect="1" noChangeArrowheads="1"/>
        </xdr:cNvSpPr>
      </xdr:nvSpPr>
      <xdr:spPr bwMode="auto">
        <a:xfrm>
          <a:off x="4667250" y="46586775"/>
          <a:ext cx="304800" cy="3727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22</xdr:row>
      <xdr:rowOff>0</xdr:rowOff>
    </xdr:from>
    <xdr:to>
      <xdr:col>2</xdr:col>
      <xdr:colOff>304800</xdr:colOff>
      <xdr:row>24</xdr:row>
      <xdr:rowOff>3036981</xdr:rowOff>
    </xdr:to>
    <xdr:sp macro="" textlink="">
      <xdr:nvSpPr>
        <xdr:cNvPr id="13" name="AutoShape 4" descr="Зубило по металлу &quot;FatMax™&quot; STANLEY 4-18-332">
          <a:hlinkClick xmlns:r="http://schemas.openxmlformats.org/officeDocument/2006/relationships" r:id="rId2"/>
          <a:extLst>
            <a:ext uri="{FF2B5EF4-FFF2-40B4-BE49-F238E27FC236}">
              <a16:creationId xmlns:a16="http://schemas.microsoft.com/office/drawing/2014/main" id="{353F3A2F-C6B7-4CBF-9392-3A5F3889A663}"/>
            </a:ext>
          </a:extLst>
        </xdr:cNvPr>
        <xdr:cNvSpPr>
          <a:spLocks noChangeAspect="1" noChangeArrowheads="1"/>
        </xdr:cNvSpPr>
      </xdr:nvSpPr>
      <xdr:spPr bwMode="auto">
        <a:xfrm>
          <a:off x="4667250" y="46586775"/>
          <a:ext cx="304800" cy="356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22</xdr:row>
      <xdr:rowOff>0</xdr:rowOff>
    </xdr:from>
    <xdr:to>
      <xdr:col>2</xdr:col>
      <xdr:colOff>304800</xdr:colOff>
      <xdr:row>24</xdr:row>
      <xdr:rowOff>3068198</xdr:rowOff>
    </xdr:to>
    <xdr:sp macro="" textlink="">
      <xdr:nvSpPr>
        <xdr:cNvPr id="14"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5B3F0CC8-404B-4E64-8DD4-72FA086651EA}"/>
            </a:ext>
          </a:extLst>
        </xdr:cNvPr>
        <xdr:cNvSpPr>
          <a:spLocks noChangeAspect="1" noChangeArrowheads="1"/>
        </xdr:cNvSpPr>
      </xdr:nvSpPr>
      <xdr:spPr bwMode="auto">
        <a:xfrm>
          <a:off x="4667250" y="46586775"/>
          <a:ext cx="304800" cy="3602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22</xdr:row>
      <xdr:rowOff>0</xdr:rowOff>
    </xdr:from>
    <xdr:to>
      <xdr:col>2</xdr:col>
      <xdr:colOff>304800</xdr:colOff>
      <xdr:row>24</xdr:row>
      <xdr:rowOff>3087248</xdr:rowOff>
    </xdr:to>
    <xdr:sp macro="" textlink="">
      <xdr:nvSpPr>
        <xdr:cNvPr id="15" name="AutoShape 4" descr="Зубило по металлу &quot;FatMax™&quot; STANLEY 4-18-332">
          <a:hlinkClick xmlns:r="http://schemas.openxmlformats.org/officeDocument/2006/relationships" r:id="rId2"/>
          <a:extLst>
            <a:ext uri="{FF2B5EF4-FFF2-40B4-BE49-F238E27FC236}">
              <a16:creationId xmlns:a16="http://schemas.microsoft.com/office/drawing/2014/main" id="{F5EE5BDC-A4E7-4C9E-BF19-B4A1DC8DAA6E}"/>
            </a:ext>
          </a:extLst>
        </xdr:cNvPr>
        <xdr:cNvSpPr>
          <a:spLocks noChangeAspect="1" noChangeArrowheads="1"/>
        </xdr:cNvSpPr>
      </xdr:nvSpPr>
      <xdr:spPr bwMode="auto">
        <a:xfrm>
          <a:off x="4667250" y="46586775"/>
          <a:ext cx="304800" cy="3736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22</xdr:row>
      <xdr:rowOff>0</xdr:rowOff>
    </xdr:from>
    <xdr:to>
      <xdr:col>2</xdr:col>
      <xdr:colOff>304800</xdr:colOff>
      <xdr:row>24</xdr:row>
      <xdr:rowOff>1596011</xdr:rowOff>
    </xdr:to>
    <xdr:sp macro="" textlink="">
      <xdr:nvSpPr>
        <xdr:cNvPr id="16"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5941FEA0-899F-47A1-9D4F-98576DB73BB0}"/>
            </a:ext>
          </a:extLst>
        </xdr:cNvPr>
        <xdr:cNvSpPr>
          <a:spLocks noChangeAspect="1" noChangeArrowheads="1"/>
        </xdr:cNvSpPr>
      </xdr:nvSpPr>
      <xdr:spPr bwMode="auto">
        <a:xfrm>
          <a:off x="4667250" y="46586775"/>
          <a:ext cx="304800" cy="2110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0</xdr:colOff>
      <xdr:row>22</xdr:row>
      <xdr:rowOff>0</xdr:rowOff>
    </xdr:from>
    <xdr:ext cx="304800" cy="2673804"/>
    <xdr:sp macro="" textlink="">
      <xdr:nvSpPr>
        <xdr:cNvPr id="17"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072688AC-C519-4E22-BE8A-ECC52B70AB23}"/>
            </a:ext>
          </a:extLst>
        </xdr:cNvPr>
        <xdr:cNvSpPr>
          <a:spLocks noChangeAspect="1" noChangeArrowheads="1"/>
        </xdr:cNvSpPr>
      </xdr:nvSpPr>
      <xdr:spPr bwMode="auto">
        <a:xfrm>
          <a:off x="4667250" y="46586775"/>
          <a:ext cx="304800" cy="2673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22</xdr:row>
      <xdr:rowOff>0</xdr:rowOff>
    </xdr:from>
    <xdr:ext cx="304800" cy="2514600"/>
    <xdr:sp macro="" textlink="">
      <xdr:nvSpPr>
        <xdr:cNvPr id="18" name="AutoShape 4" descr="Зубило по металлу &quot;FatMax™&quot; STANLEY 4-18-332">
          <a:hlinkClick xmlns:r="http://schemas.openxmlformats.org/officeDocument/2006/relationships" r:id="rId2"/>
          <a:extLst>
            <a:ext uri="{FF2B5EF4-FFF2-40B4-BE49-F238E27FC236}">
              <a16:creationId xmlns:a16="http://schemas.microsoft.com/office/drawing/2014/main" id="{FD28211E-E82F-454B-9256-9D5470A44D3D}"/>
            </a:ext>
          </a:extLst>
        </xdr:cNvPr>
        <xdr:cNvSpPr>
          <a:spLocks noChangeAspect="1" noChangeArrowheads="1"/>
        </xdr:cNvSpPr>
      </xdr:nvSpPr>
      <xdr:spPr bwMode="auto">
        <a:xfrm>
          <a:off x="4667250" y="46586775"/>
          <a:ext cx="304800" cy="2514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22</xdr:row>
      <xdr:rowOff>0</xdr:rowOff>
    </xdr:from>
    <xdr:ext cx="304800" cy="2548618"/>
    <xdr:sp macro="" textlink="">
      <xdr:nvSpPr>
        <xdr:cNvPr id="19"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750F791C-2069-432E-86A3-59481B687BF4}"/>
            </a:ext>
          </a:extLst>
        </xdr:cNvPr>
        <xdr:cNvSpPr>
          <a:spLocks noChangeAspect="1" noChangeArrowheads="1"/>
        </xdr:cNvSpPr>
      </xdr:nvSpPr>
      <xdr:spPr bwMode="auto">
        <a:xfrm>
          <a:off x="4667250" y="46586775"/>
          <a:ext cx="304800" cy="2548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22</xdr:row>
      <xdr:rowOff>0</xdr:rowOff>
    </xdr:from>
    <xdr:ext cx="304800" cy="2681968"/>
    <xdr:sp macro="" textlink="">
      <xdr:nvSpPr>
        <xdr:cNvPr id="20" name="AutoShape 4" descr="Зубило по металлу &quot;FatMax™&quot; STANLEY 4-18-332">
          <a:hlinkClick xmlns:r="http://schemas.openxmlformats.org/officeDocument/2006/relationships" r:id="rId2"/>
          <a:extLst>
            <a:ext uri="{FF2B5EF4-FFF2-40B4-BE49-F238E27FC236}">
              <a16:creationId xmlns:a16="http://schemas.microsoft.com/office/drawing/2014/main" id="{85ED9205-8DDA-480A-907D-F3C013B667DA}"/>
            </a:ext>
          </a:extLst>
        </xdr:cNvPr>
        <xdr:cNvSpPr>
          <a:spLocks noChangeAspect="1" noChangeArrowheads="1"/>
        </xdr:cNvSpPr>
      </xdr:nvSpPr>
      <xdr:spPr bwMode="auto">
        <a:xfrm>
          <a:off x="4667250" y="46586775"/>
          <a:ext cx="304800" cy="2681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22</xdr:row>
      <xdr:rowOff>0</xdr:rowOff>
    </xdr:from>
    <xdr:ext cx="304800" cy="2107746"/>
    <xdr:sp macro="" textlink="">
      <xdr:nvSpPr>
        <xdr:cNvPr id="21"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94EB7EEA-6E96-4038-A4D1-6DB17E923F4B}"/>
            </a:ext>
          </a:extLst>
        </xdr:cNvPr>
        <xdr:cNvSpPr>
          <a:spLocks noChangeAspect="1" noChangeArrowheads="1"/>
        </xdr:cNvSpPr>
      </xdr:nvSpPr>
      <xdr:spPr bwMode="auto">
        <a:xfrm>
          <a:off x="4667250" y="46586775"/>
          <a:ext cx="304800" cy="2107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6" Type="http://schemas.openxmlformats.org/officeDocument/2006/relationships/drawing" Target="../drawings/drawing4.xml"/><Relationship Id="rId5" Type="http://schemas.openxmlformats.org/officeDocument/2006/relationships/printerSettings" Target="../printerSettings/printerSettings51.bin"/><Relationship Id="rId4" Type="http://schemas.openxmlformats.org/officeDocument/2006/relationships/printerSettings" Target="../printerSettings/printerSettings5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5" Type="http://schemas.openxmlformats.org/officeDocument/2006/relationships/printerSettings" Target="../printerSettings/printerSettings56.bin"/><Relationship Id="rId4" Type="http://schemas.openxmlformats.org/officeDocument/2006/relationships/printerSettings" Target="../printerSettings/printerSettings5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drawing" Target="../drawings/drawing5.xml"/><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68.bin"/><Relationship Id="rId2" Type="http://schemas.openxmlformats.org/officeDocument/2006/relationships/hyperlink" Target="https://td-sfera.com/product-category/puskateli-jelektromagnitnye/" TargetMode="External"/><Relationship Id="rId1" Type="http://schemas.openxmlformats.org/officeDocument/2006/relationships/hyperlink" Target="https://td-sfera.com/product-category/puskateli-jelektromagnitnye/"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8.bin"/><Relationship Id="rId7" Type="http://schemas.openxmlformats.org/officeDocument/2006/relationships/printerSettings" Target="../printerSettings/printerSettings10.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hyperlink" Target="https://&#1072;&#1080;&#1088;.com.ua/katalog_elektrodvigatelei_air/air-112m2-7-5-kvt-3000-ob-min/" TargetMode="External"/><Relationship Id="rId5" Type="http://schemas.openxmlformats.org/officeDocument/2006/relationships/hyperlink" Target="http://docs.cntd.ru/document/1200100953"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8" Type="http://schemas.openxmlformats.org/officeDocument/2006/relationships/hyperlink" Target="https://elektrofarfor.com/p109103740-kryuk-dlya-izolyatorov.html" TargetMode="External"/><Relationship Id="rId13" Type="http://schemas.openxmlformats.org/officeDocument/2006/relationships/hyperlink" Target="https://&#1072;&#1080;&#1088;.com.ua/katalog_elektrodvigatelei_air/air-112m2-7-5-kvt-3000-ob-min/" TargetMode="External"/><Relationship Id="rId18" Type="http://schemas.openxmlformats.org/officeDocument/2006/relationships/hyperlink" Target="https://&#1072;&#1080;&#1088;.com.ua/katalog_elektrodvigatelei_air/air-132s4-7-5-kvt-1500-ob-min/" TargetMode="External"/><Relationship Id="rId3" Type="http://schemas.openxmlformats.org/officeDocument/2006/relationships/printerSettings" Target="../printerSettings/printerSettings13.bin"/><Relationship Id="rId21" Type="http://schemas.openxmlformats.org/officeDocument/2006/relationships/hyperlink" Target="https://ru.wikipedia.org/wiki/%D0%AD%D0%BB%D0%B5%D0%BA%D1%82%D1%80%D0%B8%D1%87%D0%B5%D1%81%D0%BA%D0%B0%D1%8F_%D1%86%D0%B5%D0%BF%D1%8C" TargetMode="External"/><Relationship Id="rId7" Type="http://schemas.openxmlformats.org/officeDocument/2006/relationships/hyperlink" Target="http://docs.cntd.ru/document/1200100953" TargetMode="External"/><Relationship Id="rId12" Type="http://schemas.openxmlformats.org/officeDocument/2006/relationships/hyperlink" Target="https://ru.wikipedia.org/wiki/%D0%AD%D0%BB%D0%B5%D0%BA%D1%82%D1%80%D0%B8%D1%87%D0%B5%D1%81%D0%BA%D0%B0%D1%8F_%D1%86%D0%B5%D0%BF%D1%8C" TargetMode="External"/><Relationship Id="rId17" Type="http://schemas.openxmlformats.org/officeDocument/2006/relationships/hyperlink" Target="https://elektrofarfor.com/p109103740-kryuk-dlya-izolyatorov.html" TargetMode="External"/><Relationship Id="rId2" Type="http://schemas.openxmlformats.org/officeDocument/2006/relationships/printerSettings" Target="../printerSettings/printerSettings12.bin"/><Relationship Id="rId16" Type="http://schemas.openxmlformats.org/officeDocument/2006/relationships/hyperlink" Target="http://docs.cntd.ru/document/1200100953" TargetMode="External"/><Relationship Id="rId20" Type="http://schemas.openxmlformats.org/officeDocument/2006/relationships/hyperlink" Target="https://homius.ru/shema-podklyucheniya-dvuhklavishnogo-vyiklyuchatelya.html" TargetMode="External"/><Relationship Id="rId1" Type="http://schemas.openxmlformats.org/officeDocument/2006/relationships/printerSettings" Target="../printerSettings/printerSettings11.bin"/><Relationship Id="rId6" Type="http://schemas.openxmlformats.org/officeDocument/2006/relationships/hyperlink" Target="http://docs.cntd.ru/document/1200100953" TargetMode="External"/><Relationship Id="rId11" Type="http://schemas.openxmlformats.org/officeDocument/2006/relationships/hyperlink" Target="https://homius.ru/shema-podklyucheniya-dvuhklavishnogo-vyiklyuchatelya.html" TargetMode="External"/><Relationship Id="rId5" Type="http://schemas.openxmlformats.org/officeDocument/2006/relationships/hyperlink" Target="http://docs.cntd.ru/document/1200100953" TargetMode="External"/><Relationship Id="rId15" Type="http://schemas.openxmlformats.org/officeDocument/2006/relationships/hyperlink" Target="http://docs.cntd.ru/document/1200100953" TargetMode="External"/><Relationship Id="rId23" Type="http://schemas.openxmlformats.org/officeDocument/2006/relationships/printerSettings" Target="../printerSettings/printerSettings15.bin"/><Relationship Id="rId10" Type="http://schemas.openxmlformats.org/officeDocument/2006/relationships/hyperlink" Target="https://&#1072;&#1080;&#1088;.com.ua/katalog_elektrodvigatelei_air/air-112m2-7-5-kvt-3000-ob-min/" TargetMode="External"/><Relationship Id="rId19" Type="http://schemas.openxmlformats.org/officeDocument/2006/relationships/hyperlink" Target="https://&#1072;&#1080;&#1088;.com.ua/katalog_elektrodvigatelei_air/air-112m2-7-5-kvt-3000-ob-min/" TargetMode="External"/><Relationship Id="rId4" Type="http://schemas.openxmlformats.org/officeDocument/2006/relationships/printerSettings" Target="../printerSettings/printerSettings14.bin"/><Relationship Id="rId9" Type="http://schemas.openxmlformats.org/officeDocument/2006/relationships/hyperlink" Target="https://&#1072;&#1080;&#1088;.com.ua/katalog_elektrodvigatelei_air/air-132s4-7-5-kvt-1500-ob-min/" TargetMode="External"/><Relationship Id="rId14" Type="http://schemas.openxmlformats.org/officeDocument/2006/relationships/hyperlink" Target="http://docs.cntd.ru/document/1200100953" TargetMode="External"/><Relationship Id="rId22" Type="http://schemas.openxmlformats.org/officeDocument/2006/relationships/hyperlink" Target="https://&#1072;&#1080;&#1088;.com.ua/katalog_elektrodvigatelei_air/air-112m2-7-5-kvt-3000-ob-mi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drawing" Target="../drawings/drawing2.xml"/><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drawing" Target="../drawings/drawing3.xml"/><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41.bin"/><Relationship Id="rId3" Type="http://schemas.openxmlformats.org/officeDocument/2006/relationships/printerSettings" Target="../printerSettings/printerSettings39.bin"/><Relationship Id="rId7" Type="http://schemas.openxmlformats.org/officeDocument/2006/relationships/hyperlink" Target="https://ru.wikipedia.org/wiki/%D0%AD%D0%BB%D0%B5%D0%BA%D1%82%D1%80%D0%B8%D1%87%D0%B5%D1%81%D0%BA%D0%B0%D1%8F_%D1%86%D0%B5%D0%BF%D1%8C" TargetMode="Externa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hyperlink" Target="https://&#1072;&#1080;&#1088;.com.ua/katalog_elektrodvigatelei_air/air-112m2-7-5-kvt-3000-ob-min/" TargetMode="External"/><Relationship Id="rId5" Type="http://schemas.openxmlformats.org/officeDocument/2006/relationships/hyperlink" Target="http://docs.cntd.ru/document/1200100953" TargetMode="External"/><Relationship Id="rId4"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M81"/>
  <sheetViews>
    <sheetView zoomScale="70" zoomScaleNormal="70" workbookViewId="0">
      <selection activeCell="G83" sqref="G83"/>
    </sheetView>
  </sheetViews>
  <sheetFormatPr defaultColWidth="61" defaultRowHeight="21" outlineLevelRow="1"/>
  <cols>
    <col min="1" max="1" width="14" style="510" customWidth="1"/>
    <col min="2" max="2" width="62.42578125" style="510" customWidth="1"/>
    <col min="3" max="3" width="21.5703125" style="510" hidden="1" customWidth="1"/>
    <col min="4" max="4" width="36.140625" style="510" hidden="1" customWidth="1"/>
    <col min="5" max="5" width="21.5703125" style="510" hidden="1" customWidth="1"/>
    <col min="6" max="6" width="37" style="510" hidden="1" customWidth="1"/>
    <col min="7" max="7" width="21.7109375" style="510" customWidth="1"/>
    <col min="8" max="10" width="40.42578125" style="285" hidden="1" customWidth="1"/>
    <col min="11" max="12" width="40.42578125" style="285" customWidth="1"/>
    <col min="13" max="16384" width="61" style="510"/>
  </cols>
  <sheetData>
    <row r="1" spans="1:13" ht="40.5" customHeight="1">
      <c r="A1" s="1016" t="s">
        <v>2709</v>
      </c>
      <c r="B1" s="1016"/>
      <c r="C1" s="1016"/>
      <c r="D1" s="1016"/>
      <c r="E1" s="1016"/>
      <c r="F1" s="1016"/>
      <c r="G1" s="1016"/>
      <c r="H1" s="1016"/>
      <c r="I1" s="1016"/>
      <c r="J1" s="1016"/>
      <c r="K1" s="1016"/>
      <c r="L1" s="1016"/>
    </row>
    <row r="2" spans="1:13">
      <c r="A2" s="1018" t="s">
        <v>595</v>
      </c>
      <c r="B2" s="1018" t="s">
        <v>2012</v>
      </c>
      <c r="C2" s="1012">
        <v>2022</v>
      </c>
      <c r="D2" s="1013"/>
      <c r="E2" s="1012">
        <v>2023</v>
      </c>
      <c r="F2" s="1013"/>
      <c r="G2" s="1012">
        <v>2024</v>
      </c>
      <c r="H2" s="1017"/>
      <c r="I2" s="1017"/>
      <c r="J2" s="1017"/>
      <c r="K2" s="1017"/>
      <c r="L2" s="1013"/>
    </row>
    <row r="3" spans="1:13" ht="40.5">
      <c r="A3" s="1019"/>
      <c r="B3" s="1019"/>
      <c r="C3" s="511" t="s">
        <v>2706</v>
      </c>
      <c r="D3" s="511" t="s">
        <v>3024</v>
      </c>
      <c r="E3" s="511" t="s">
        <v>2706</v>
      </c>
      <c r="F3" s="511" t="s">
        <v>4437</v>
      </c>
      <c r="G3" s="511" t="s">
        <v>2706</v>
      </c>
      <c r="H3" s="511" t="s">
        <v>3024</v>
      </c>
      <c r="I3" s="511" t="s">
        <v>3028</v>
      </c>
      <c r="J3" s="511" t="s">
        <v>3027</v>
      </c>
      <c r="K3" s="511" t="s">
        <v>3025</v>
      </c>
      <c r="L3" s="512" t="s">
        <v>3026</v>
      </c>
    </row>
    <row r="4" spans="1:13">
      <c r="A4" s="1012" t="s">
        <v>4226</v>
      </c>
      <c r="B4" s="1013"/>
      <c r="C4" s="659"/>
      <c r="D4" s="659"/>
      <c r="E4" s="659"/>
      <c r="F4" s="659"/>
      <c r="G4" s="659"/>
      <c r="H4" s="659"/>
      <c r="I4" s="659"/>
      <c r="J4" s="659"/>
      <c r="K4" s="659"/>
      <c r="L4" s="658"/>
    </row>
    <row r="5" spans="1:13">
      <c r="A5" s="513" t="s">
        <v>3003</v>
      </c>
      <c r="B5" s="514" t="s">
        <v>3015</v>
      </c>
      <c r="C5" s="514"/>
      <c r="D5" s="514"/>
      <c r="E5" s="514">
        <v>129</v>
      </c>
      <c r="F5" s="515">
        <v>6462370084.6499996</v>
      </c>
      <c r="G5" s="514">
        <f t="shared" ref="G5:L5" si="0">SUM(G6:G28)</f>
        <v>132</v>
      </c>
      <c r="H5" s="515">
        <f t="shared" si="0"/>
        <v>7489132332.5</v>
      </c>
      <c r="I5" s="515">
        <f t="shared" si="0"/>
        <v>1576773938</v>
      </c>
      <c r="J5" s="515">
        <f t="shared" si="0"/>
        <v>2961827689</v>
      </c>
      <c r="K5" s="515">
        <f t="shared" si="0"/>
        <v>2888530705.5</v>
      </c>
      <c r="L5" s="515">
        <f t="shared" si="0"/>
        <v>62000000</v>
      </c>
      <c r="M5" s="518"/>
    </row>
    <row r="6" spans="1:13" hidden="1" outlineLevel="1">
      <c r="A6" s="516">
        <v>1</v>
      </c>
      <c r="B6" s="258" t="s">
        <v>18</v>
      </c>
      <c r="C6" s="258"/>
      <c r="D6" s="258"/>
      <c r="E6" s="258"/>
      <c r="F6" s="515"/>
      <c r="G6" s="258">
        <v>6</v>
      </c>
      <c r="H6" s="517">
        <f>SUM(I6:K6)</f>
        <v>54021450</v>
      </c>
      <c r="I6" s="517">
        <v>16254810</v>
      </c>
      <c r="J6" s="517">
        <v>20564900</v>
      </c>
      <c r="K6" s="517">
        <v>17201740</v>
      </c>
      <c r="L6" s="517">
        <v>0</v>
      </c>
    </row>
    <row r="7" spans="1:13" hidden="1" outlineLevel="1">
      <c r="A7" s="516">
        <v>2</v>
      </c>
      <c r="B7" s="258" t="s">
        <v>29</v>
      </c>
      <c r="C7" s="258"/>
      <c r="D7" s="258"/>
      <c r="E7" s="258"/>
      <c r="F7" s="515"/>
      <c r="G7" s="258">
        <v>8</v>
      </c>
      <c r="H7" s="517">
        <f>SUM(I7:K7)</f>
        <v>164132884</v>
      </c>
      <c r="I7" s="517">
        <v>16530181</v>
      </c>
      <c r="J7" s="517">
        <v>74744835</v>
      </c>
      <c r="K7" s="517">
        <v>72857868</v>
      </c>
      <c r="L7" s="517">
        <v>0</v>
      </c>
      <c r="M7" s="518"/>
    </row>
    <row r="8" spans="1:13" hidden="1" outlineLevel="1">
      <c r="A8" s="516">
        <v>3</v>
      </c>
      <c r="B8" s="258" t="s">
        <v>31</v>
      </c>
      <c r="C8" s="258"/>
      <c r="D8" s="258"/>
      <c r="E8" s="258"/>
      <c r="F8" s="515"/>
      <c r="G8" s="258">
        <v>9</v>
      </c>
      <c r="H8" s="517">
        <f t="shared" ref="H8:H28" si="1">SUM(I8:L8)</f>
        <v>369777156</v>
      </c>
      <c r="I8" s="517">
        <v>61405052</v>
      </c>
      <c r="J8" s="517">
        <v>215936052</v>
      </c>
      <c r="K8" s="517">
        <v>92436052</v>
      </c>
      <c r="L8" s="517">
        <v>0</v>
      </c>
    </row>
    <row r="9" spans="1:13" hidden="1" outlineLevel="1">
      <c r="A9" s="516">
        <v>4</v>
      </c>
      <c r="B9" s="258" t="s">
        <v>35</v>
      </c>
      <c r="C9" s="258"/>
      <c r="D9" s="258"/>
      <c r="E9" s="258"/>
      <c r="F9" s="515"/>
      <c r="G9" s="258">
        <v>3</v>
      </c>
      <c r="H9" s="517">
        <f t="shared" si="1"/>
        <v>16885724</v>
      </c>
      <c r="I9" s="517">
        <v>4803250</v>
      </c>
      <c r="J9" s="517">
        <v>7389240</v>
      </c>
      <c r="K9" s="517">
        <v>4693234</v>
      </c>
      <c r="L9" s="517">
        <v>0</v>
      </c>
    </row>
    <row r="10" spans="1:13" hidden="1" outlineLevel="1">
      <c r="A10" s="516">
        <v>5</v>
      </c>
      <c r="B10" s="258" t="s">
        <v>7</v>
      </c>
      <c r="C10" s="258"/>
      <c r="D10" s="258"/>
      <c r="E10" s="258"/>
      <c r="F10" s="515"/>
      <c r="G10" s="258">
        <v>8</v>
      </c>
      <c r="H10" s="517">
        <f t="shared" si="1"/>
        <v>285210970</v>
      </c>
      <c r="I10" s="517">
        <v>73533020</v>
      </c>
      <c r="J10" s="517">
        <v>113770200</v>
      </c>
      <c r="K10" s="517">
        <v>97907750</v>
      </c>
      <c r="L10" s="517">
        <v>0</v>
      </c>
    </row>
    <row r="11" spans="1:13" hidden="1" outlineLevel="1">
      <c r="A11" s="516">
        <v>6</v>
      </c>
      <c r="B11" s="258" t="s">
        <v>9</v>
      </c>
      <c r="C11" s="258"/>
      <c r="D11" s="258"/>
      <c r="E11" s="258"/>
      <c r="F11" s="515"/>
      <c r="G11" s="258">
        <v>8</v>
      </c>
      <c r="H11" s="517">
        <f t="shared" si="1"/>
        <v>130024730</v>
      </c>
      <c r="I11" s="517">
        <v>34134331</v>
      </c>
      <c r="J11" s="517">
        <v>54464484</v>
      </c>
      <c r="K11" s="517">
        <v>41425915</v>
      </c>
      <c r="L11" s="517">
        <v>0</v>
      </c>
    </row>
    <row r="12" spans="1:13" hidden="1" outlineLevel="1">
      <c r="A12" s="516">
        <v>7</v>
      </c>
      <c r="B12" s="258" t="s">
        <v>15</v>
      </c>
      <c r="C12" s="258"/>
      <c r="D12" s="258"/>
      <c r="E12" s="258"/>
      <c r="F12" s="515"/>
      <c r="G12" s="258">
        <v>6</v>
      </c>
      <c r="H12" s="517">
        <f t="shared" si="1"/>
        <v>285982928</v>
      </c>
      <c r="I12" s="517">
        <v>70656888</v>
      </c>
      <c r="J12" s="517">
        <v>135377202</v>
      </c>
      <c r="K12" s="517">
        <v>79948838</v>
      </c>
      <c r="L12" s="517">
        <v>0</v>
      </c>
    </row>
    <row r="13" spans="1:13" hidden="1" outlineLevel="1">
      <c r="A13" s="516">
        <v>8</v>
      </c>
      <c r="B13" s="258" t="s">
        <v>43</v>
      </c>
      <c r="C13" s="258"/>
      <c r="D13" s="258"/>
      <c r="E13" s="258"/>
      <c r="F13" s="515"/>
      <c r="G13" s="258">
        <v>4</v>
      </c>
      <c r="H13" s="517">
        <f t="shared" si="1"/>
        <v>325026040</v>
      </c>
      <c r="I13" s="517">
        <v>109661280</v>
      </c>
      <c r="J13" s="517">
        <v>107682380</v>
      </c>
      <c r="K13" s="517">
        <v>107682380</v>
      </c>
      <c r="L13" s="517">
        <v>0</v>
      </c>
    </row>
    <row r="14" spans="1:13" hidden="1" outlineLevel="1">
      <c r="A14" s="516">
        <v>9</v>
      </c>
      <c r="B14" s="258" t="s">
        <v>2997</v>
      </c>
      <c r="C14" s="258"/>
      <c r="D14" s="258"/>
      <c r="E14" s="258"/>
      <c r="F14" s="515"/>
      <c r="G14" s="258">
        <v>5</v>
      </c>
      <c r="H14" s="517">
        <f t="shared" si="1"/>
        <v>65160816</v>
      </c>
      <c r="I14" s="517">
        <v>11492640</v>
      </c>
      <c r="J14" s="517">
        <v>41088108</v>
      </c>
      <c r="K14" s="517">
        <v>12580068</v>
      </c>
      <c r="L14" s="517">
        <v>0</v>
      </c>
    </row>
    <row r="15" spans="1:13" hidden="1" outlineLevel="1">
      <c r="A15" s="516">
        <v>10</v>
      </c>
      <c r="B15" s="258" t="s">
        <v>55</v>
      </c>
      <c r="C15" s="258"/>
      <c r="D15" s="258"/>
      <c r="E15" s="258"/>
      <c r="F15" s="515"/>
      <c r="G15" s="258">
        <v>6</v>
      </c>
      <c r="H15" s="517">
        <f t="shared" si="1"/>
        <v>99255983</v>
      </c>
      <c r="I15" s="517">
        <v>30350961</v>
      </c>
      <c r="J15" s="517">
        <v>38554061</v>
      </c>
      <c r="K15" s="517">
        <v>30350961</v>
      </c>
      <c r="L15" s="517">
        <v>0</v>
      </c>
    </row>
    <row r="16" spans="1:13" hidden="1" outlineLevel="1">
      <c r="A16" s="516">
        <v>11</v>
      </c>
      <c r="B16" s="258" t="s">
        <v>58</v>
      </c>
      <c r="C16" s="258"/>
      <c r="D16" s="258"/>
      <c r="E16" s="258"/>
      <c r="F16" s="515"/>
      <c r="G16" s="258">
        <v>7</v>
      </c>
      <c r="H16" s="517">
        <f t="shared" si="1"/>
        <v>58547865</v>
      </c>
      <c r="I16" s="517">
        <v>10173320</v>
      </c>
      <c r="J16" s="517">
        <v>28946562</v>
      </c>
      <c r="K16" s="517">
        <v>19427983</v>
      </c>
      <c r="L16" s="517">
        <v>0</v>
      </c>
    </row>
    <row r="17" spans="1:12" hidden="1" outlineLevel="1">
      <c r="A17" s="516">
        <v>12</v>
      </c>
      <c r="B17" s="258" t="s">
        <v>62</v>
      </c>
      <c r="C17" s="258"/>
      <c r="D17" s="258"/>
      <c r="E17" s="258"/>
      <c r="F17" s="515"/>
      <c r="G17" s="258">
        <v>6</v>
      </c>
      <c r="H17" s="517">
        <f t="shared" si="1"/>
        <v>5754540</v>
      </c>
      <c r="I17" s="517">
        <v>0</v>
      </c>
      <c r="J17" s="517">
        <v>2904132</v>
      </c>
      <c r="K17" s="517">
        <v>2850408</v>
      </c>
      <c r="L17" s="517">
        <v>0</v>
      </c>
    </row>
    <row r="18" spans="1:12" hidden="1" outlineLevel="1">
      <c r="A18" s="516">
        <v>13</v>
      </c>
      <c r="B18" s="258" t="s">
        <v>66</v>
      </c>
      <c r="C18" s="258"/>
      <c r="D18" s="258"/>
      <c r="E18" s="258"/>
      <c r="F18" s="515"/>
      <c r="G18" s="258">
        <v>9</v>
      </c>
      <c r="H18" s="517">
        <f t="shared" si="1"/>
        <v>1541846150</v>
      </c>
      <c r="I18" s="517">
        <v>443143900</v>
      </c>
      <c r="J18" s="517">
        <v>711353450</v>
      </c>
      <c r="K18" s="517">
        <v>387348800</v>
      </c>
      <c r="L18" s="517">
        <v>0</v>
      </c>
    </row>
    <row r="19" spans="1:12" hidden="1" outlineLevel="1">
      <c r="A19" s="516">
        <v>14</v>
      </c>
      <c r="B19" s="258" t="s">
        <v>2998</v>
      </c>
      <c r="C19" s="258"/>
      <c r="D19" s="258"/>
      <c r="E19" s="258"/>
      <c r="F19" s="515"/>
      <c r="G19" s="258">
        <v>8</v>
      </c>
      <c r="H19" s="517">
        <f t="shared" si="1"/>
        <v>1481465207.5</v>
      </c>
      <c r="I19" s="517">
        <v>286679000</v>
      </c>
      <c r="J19" s="517">
        <v>648536578</v>
      </c>
      <c r="K19" s="517">
        <v>546249629.5</v>
      </c>
      <c r="L19" s="517">
        <v>0</v>
      </c>
    </row>
    <row r="20" spans="1:12" hidden="1" outlineLevel="1">
      <c r="A20" s="516">
        <v>15</v>
      </c>
      <c r="B20" s="258" t="s">
        <v>93</v>
      </c>
      <c r="C20" s="258"/>
      <c r="D20" s="258"/>
      <c r="E20" s="258"/>
      <c r="F20" s="515"/>
      <c r="G20" s="258">
        <v>6</v>
      </c>
      <c r="H20" s="517">
        <f t="shared" si="1"/>
        <v>565203400</v>
      </c>
      <c r="I20" s="517">
        <v>80977980</v>
      </c>
      <c r="J20" s="517">
        <v>100237000</v>
      </c>
      <c r="K20" s="517">
        <v>383988420</v>
      </c>
      <c r="L20" s="517">
        <v>0</v>
      </c>
    </row>
    <row r="21" spans="1:12" hidden="1" outlineLevel="1">
      <c r="A21" s="516">
        <v>16</v>
      </c>
      <c r="B21" s="258" t="s">
        <v>101</v>
      </c>
      <c r="C21" s="258"/>
      <c r="D21" s="258"/>
      <c r="E21" s="258"/>
      <c r="F21" s="515"/>
      <c r="G21" s="258">
        <v>5</v>
      </c>
      <c r="H21" s="517">
        <f t="shared" si="1"/>
        <v>137766515</v>
      </c>
      <c r="I21" s="517">
        <v>48312005</v>
      </c>
      <c r="J21" s="517">
        <v>59064505</v>
      </c>
      <c r="K21" s="517">
        <v>30390005</v>
      </c>
      <c r="L21" s="517">
        <v>0</v>
      </c>
    </row>
    <row r="22" spans="1:12" hidden="1" outlineLevel="1">
      <c r="A22" s="516">
        <v>17</v>
      </c>
      <c r="B22" s="258" t="s">
        <v>103</v>
      </c>
      <c r="C22" s="258"/>
      <c r="D22" s="258"/>
      <c r="E22" s="258"/>
      <c r="F22" s="515"/>
      <c r="G22" s="258">
        <v>2</v>
      </c>
      <c r="H22" s="517">
        <f t="shared" si="1"/>
        <v>87006000</v>
      </c>
      <c r="I22" s="517">
        <v>19872000</v>
      </c>
      <c r="J22" s="517">
        <v>36306000</v>
      </c>
      <c r="K22" s="517">
        <v>30828000</v>
      </c>
      <c r="L22" s="517">
        <v>0</v>
      </c>
    </row>
    <row r="23" spans="1:12" hidden="1" outlineLevel="1">
      <c r="A23" s="516">
        <v>18</v>
      </c>
      <c r="B23" s="258" t="s">
        <v>2999</v>
      </c>
      <c r="C23" s="258"/>
      <c r="D23" s="258"/>
      <c r="E23" s="258"/>
      <c r="F23" s="515"/>
      <c r="G23" s="258">
        <v>13</v>
      </c>
      <c r="H23" s="517">
        <f t="shared" si="1"/>
        <v>611349934</v>
      </c>
      <c r="I23" s="517">
        <v>59841300</v>
      </c>
      <c r="J23" s="517">
        <v>215965500</v>
      </c>
      <c r="K23" s="517">
        <v>335543134</v>
      </c>
      <c r="L23" s="517">
        <v>0</v>
      </c>
    </row>
    <row r="24" spans="1:12" hidden="1" outlineLevel="1">
      <c r="A24" s="516">
        <v>19</v>
      </c>
      <c r="B24" s="258" t="s">
        <v>113</v>
      </c>
      <c r="C24" s="258"/>
      <c r="D24" s="258"/>
      <c r="E24" s="258"/>
      <c r="F24" s="515"/>
      <c r="G24" s="258">
        <v>1</v>
      </c>
      <c r="H24" s="517">
        <f t="shared" si="1"/>
        <v>398860000</v>
      </c>
      <c r="I24" s="517">
        <v>0</v>
      </c>
      <c r="J24" s="517">
        <v>0</v>
      </c>
      <c r="K24" s="517">
        <v>398860000</v>
      </c>
      <c r="L24" s="517"/>
    </row>
    <row r="25" spans="1:12" hidden="1" outlineLevel="1">
      <c r="A25" s="516">
        <v>20</v>
      </c>
      <c r="B25" s="258" t="s">
        <v>116</v>
      </c>
      <c r="C25" s="258"/>
      <c r="D25" s="258"/>
      <c r="E25" s="258"/>
      <c r="F25" s="515"/>
      <c r="G25" s="258">
        <v>1</v>
      </c>
      <c r="H25" s="517">
        <f t="shared" si="1"/>
        <v>407000000</v>
      </c>
      <c r="I25" s="517">
        <v>101750000</v>
      </c>
      <c r="J25" s="517">
        <v>203500000</v>
      </c>
      <c r="K25" s="517">
        <v>101750000</v>
      </c>
      <c r="L25" s="517">
        <v>0</v>
      </c>
    </row>
    <row r="26" spans="1:12" hidden="1" outlineLevel="1">
      <c r="A26" s="516">
        <v>21</v>
      </c>
      <c r="B26" s="258" t="s">
        <v>118</v>
      </c>
      <c r="C26" s="258"/>
      <c r="D26" s="258"/>
      <c r="E26" s="258"/>
      <c r="F26" s="515"/>
      <c r="G26" s="258">
        <v>7</v>
      </c>
      <c r="H26" s="517">
        <f t="shared" si="1"/>
        <v>335539040</v>
      </c>
      <c r="I26" s="517">
        <v>97202020</v>
      </c>
      <c r="J26" s="517">
        <v>145442500</v>
      </c>
      <c r="K26" s="517">
        <v>92894520</v>
      </c>
      <c r="L26" s="517">
        <v>0</v>
      </c>
    </row>
    <row r="27" spans="1:12" hidden="1" outlineLevel="1">
      <c r="A27" s="516">
        <v>22</v>
      </c>
      <c r="B27" s="258" t="s">
        <v>123</v>
      </c>
      <c r="C27" s="258"/>
      <c r="D27" s="258"/>
      <c r="E27" s="258"/>
      <c r="F27" s="515"/>
      <c r="G27" s="258">
        <v>2</v>
      </c>
      <c r="H27" s="517">
        <f t="shared" si="1"/>
        <v>1315000</v>
      </c>
      <c r="I27" s="517">
        <v>0</v>
      </c>
      <c r="J27" s="517">
        <v>0</v>
      </c>
      <c r="K27" s="517">
        <v>1315000</v>
      </c>
      <c r="L27" s="517">
        <v>0</v>
      </c>
    </row>
    <row r="28" spans="1:12" hidden="1" outlineLevel="1">
      <c r="A28" s="516">
        <v>23</v>
      </c>
      <c r="B28" s="258" t="s">
        <v>2826</v>
      </c>
      <c r="C28" s="258"/>
      <c r="D28" s="258"/>
      <c r="E28" s="258"/>
      <c r="F28" s="515"/>
      <c r="G28" s="258">
        <v>2</v>
      </c>
      <c r="H28" s="517">
        <f t="shared" si="1"/>
        <v>62000000</v>
      </c>
      <c r="I28" s="517">
        <v>0</v>
      </c>
      <c r="J28" s="517"/>
      <c r="K28" s="517"/>
      <c r="L28" s="517">
        <v>62000000</v>
      </c>
    </row>
    <row r="29" spans="1:12" collapsed="1">
      <c r="A29" s="513" t="s">
        <v>3004</v>
      </c>
      <c r="B29" s="514" t="s">
        <v>3016</v>
      </c>
      <c r="C29" s="514"/>
      <c r="D29" s="514"/>
      <c r="E29" s="514">
        <v>58</v>
      </c>
      <c r="F29" s="515">
        <v>8112227619</v>
      </c>
      <c r="G29" s="514">
        <f>SUM(G30:G33)</f>
        <v>195</v>
      </c>
      <c r="H29" s="515">
        <f>SUM(I29:L29)</f>
        <v>10197579116</v>
      </c>
      <c r="I29" s="515">
        <f>SUM(I30:I33)</f>
        <v>1040054647</v>
      </c>
      <c r="J29" s="515">
        <f>SUM(J30:J33)</f>
        <v>2788587996</v>
      </c>
      <c r="K29" s="515">
        <f>SUM(K30:K33)</f>
        <v>3265327313</v>
      </c>
      <c r="L29" s="515">
        <f>SUM(L30:L33)</f>
        <v>3103609160</v>
      </c>
    </row>
    <row r="30" spans="1:12" hidden="1" outlineLevel="1">
      <c r="A30" s="516">
        <v>1</v>
      </c>
      <c r="B30" s="258" t="s">
        <v>560</v>
      </c>
      <c r="C30" s="258"/>
      <c r="D30" s="258"/>
      <c r="E30" s="258"/>
      <c r="F30" s="515"/>
      <c r="G30" s="258">
        <v>36</v>
      </c>
      <c r="H30" s="517">
        <f t="shared" ref="H30:H38" si="2">SUM(I30:L30)</f>
        <v>7406363374</v>
      </c>
      <c r="I30" s="517">
        <v>366731024</v>
      </c>
      <c r="J30" s="517">
        <v>2097953198</v>
      </c>
      <c r="K30" s="517">
        <v>2563056440</v>
      </c>
      <c r="L30" s="517">
        <v>2378622712</v>
      </c>
    </row>
    <row r="31" spans="1:12" hidden="1" outlineLevel="1">
      <c r="A31" s="516">
        <v>2</v>
      </c>
      <c r="B31" s="258" t="s">
        <v>596</v>
      </c>
      <c r="C31" s="258"/>
      <c r="D31" s="258"/>
      <c r="E31" s="258"/>
      <c r="F31" s="515"/>
      <c r="G31" s="258">
        <v>12</v>
      </c>
      <c r="H31" s="517">
        <f t="shared" si="2"/>
        <v>652260000</v>
      </c>
      <c r="I31" s="517">
        <v>140356000</v>
      </c>
      <c r="J31" s="517">
        <v>152651000</v>
      </c>
      <c r="K31" s="517">
        <v>161176500</v>
      </c>
      <c r="L31" s="517">
        <v>198076500</v>
      </c>
    </row>
    <row r="32" spans="1:12" hidden="1" outlineLevel="1">
      <c r="A32" s="516">
        <v>3</v>
      </c>
      <c r="B32" s="258" t="s">
        <v>3001</v>
      </c>
      <c r="C32" s="258"/>
      <c r="D32" s="258"/>
      <c r="E32" s="258"/>
      <c r="F32" s="515"/>
      <c r="G32" s="258">
        <v>2</v>
      </c>
      <c r="H32" s="517">
        <f t="shared" si="2"/>
        <v>3720000</v>
      </c>
      <c r="I32" s="517">
        <v>0</v>
      </c>
      <c r="J32" s="517">
        <v>0</v>
      </c>
      <c r="K32" s="517">
        <v>3720000</v>
      </c>
      <c r="L32" s="517">
        <v>0</v>
      </c>
    </row>
    <row r="33" spans="1:13" hidden="1" outlineLevel="1">
      <c r="A33" s="516">
        <v>4</v>
      </c>
      <c r="B33" s="258" t="s">
        <v>3000</v>
      </c>
      <c r="C33" s="258"/>
      <c r="D33" s="258"/>
      <c r="E33" s="258"/>
      <c r="F33" s="515"/>
      <c r="G33" s="258">
        <v>145</v>
      </c>
      <c r="H33" s="517">
        <f t="shared" si="2"/>
        <v>2135235742</v>
      </c>
      <c r="I33" s="517">
        <v>532967623</v>
      </c>
      <c r="J33" s="517">
        <v>537983798</v>
      </c>
      <c r="K33" s="517">
        <v>537374373</v>
      </c>
      <c r="L33" s="517">
        <v>526909948</v>
      </c>
    </row>
    <row r="34" spans="1:13" collapsed="1">
      <c r="A34" s="513" t="s">
        <v>3005</v>
      </c>
      <c r="B34" s="514" t="s">
        <v>598</v>
      </c>
      <c r="C34" s="514"/>
      <c r="D34" s="514"/>
      <c r="E34" s="514">
        <v>14</v>
      </c>
      <c r="F34" s="515">
        <v>64957560705</v>
      </c>
      <c r="G34" s="514">
        <v>33</v>
      </c>
      <c r="H34" s="515">
        <f t="shared" si="2"/>
        <v>88050106770</v>
      </c>
      <c r="I34" s="515">
        <f>SUM(I35:I38)</f>
        <v>15786698135</v>
      </c>
      <c r="J34" s="515">
        <f>SUM(J35:J38)</f>
        <v>24220268825</v>
      </c>
      <c r="K34" s="515">
        <f>SUM(K35:K38)</f>
        <v>24222868825</v>
      </c>
      <c r="L34" s="515">
        <f>SUM(L35:L38)</f>
        <v>23820270985</v>
      </c>
    </row>
    <row r="35" spans="1:13" hidden="1" outlineLevel="1">
      <c r="A35" s="516">
        <v>1</v>
      </c>
      <c r="B35" s="258" t="s">
        <v>3033</v>
      </c>
      <c r="C35" s="258"/>
      <c r="D35" s="258"/>
      <c r="E35" s="258"/>
      <c r="F35" s="515"/>
      <c r="G35" s="258">
        <v>1</v>
      </c>
      <c r="H35" s="517">
        <f t="shared" si="2"/>
        <v>75200000000</v>
      </c>
      <c r="I35" s="517">
        <v>12800000000</v>
      </c>
      <c r="J35" s="517">
        <v>20800000000</v>
      </c>
      <c r="K35" s="517">
        <v>20800000000</v>
      </c>
      <c r="L35" s="517">
        <v>20800000000</v>
      </c>
    </row>
    <row r="36" spans="1:13" hidden="1" outlineLevel="1">
      <c r="A36" s="516">
        <v>2</v>
      </c>
      <c r="B36" s="258" t="s">
        <v>3030</v>
      </c>
      <c r="C36" s="258"/>
      <c r="D36" s="258"/>
      <c r="E36" s="258"/>
      <c r="F36" s="515"/>
      <c r="G36" s="258">
        <v>1</v>
      </c>
      <c r="H36" s="517">
        <f t="shared" si="2"/>
        <v>1000000000</v>
      </c>
      <c r="I36" s="517">
        <v>250000000</v>
      </c>
      <c r="J36" s="517">
        <v>250000000</v>
      </c>
      <c r="K36" s="517">
        <v>250000000</v>
      </c>
      <c r="L36" s="517">
        <v>250000000</v>
      </c>
      <c r="M36" s="518">
        <f>SUM(H79,H72,H62,H61,H55,H51,H46,H40,H39,H34,H29,H5)</f>
        <v>640442711781.04993</v>
      </c>
    </row>
    <row r="37" spans="1:13" hidden="1" outlineLevel="1">
      <c r="A37" s="516">
        <v>3</v>
      </c>
      <c r="B37" s="258" t="s">
        <v>3031</v>
      </c>
      <c r="C37" s="258"/>
      <c r="D37" s="258"/>
      <c r="E37" s="258"/>
      <c r="F37" s="515"/>
      <c r="G37" s="258">
        <v>1</v>
      </c>
      <c r="H37" s="517">
        <f t="shared" si="2"/>
        <v>1879800000</v>
      </c>
      <c r="I37" s="517">
        <v>397650000</v>
      </c>
      <c r="J37" s="517">
        <v>542250000</v>
      </c>
      <c r="K37" s="517">
        <v>542250000</v>
      </c>
      <c r="L37" s="517">
        <v>397650000</v>
      </c>
    </row>
    <row r="38" spans="1:13" hidden="1" outlineLevel="1">
      <c r="A38" s="516">
        <v>4</v>
      </c>
      <c r="B38" s="258" t="s">
        <v>3032</v>
      </c>
      <c r="C38" s="258"/>
      <c r="D38" s="258"/>
      <c r="E38" s="258"/>
      <c r="F38" s="515"/>
      <c r="G38" s="258">
        <v>30</v>
      </c>
      <c r="H38" s="517">
        <f t="shared" si="2"/>
        <v>9970306770</v>
      </c>
      <c r="I38" s="517">
        <v>2339048135</v>
      </c>
      <c r="J38" s="517">
        <v>2628018825</v>
      </c>
      <c r="K38" s="517">
        <v>2630618825</v>
      </c>
      <c r="L38" s="517">
        <v>2372620985</v>
      </c>
    </row>
    <row r="39" spans="1:13" collapsed="1">
      <c r="A39" s="513" t="s">
        <v>3006</v>
      </c>
      <c r="B39" s="514" t="s">
        <v>3017</v>
      </c>
      <c r="C39" s="514"/>
      <c r="D39" s="514"/>
      <c r="E39" s="514">
        <v>90</v>
      </c>
      <c r="F39" s="515">
        <v>2647016260</v>
      </c>
      <c r="G39" s="514">
        <v>68</v>
      </c>
      <c r="H39" s="515">
        <f t="shared" ref="H39:H45" si="3">SUM(I39:L39)</f>
        <v>4208071566</v>
      </c>
      <c r="I39" s="515">
        <v>497863966</v>
      </c>
      <c r="J39" s="515">
        <v>973837719</v>
      </c>
      <c r="K39" s="515">
        <v>1487633817</v>
      </c>
      <c r="L39" s="515">
        <v>1248736064</v>
      </c>
    </row>
    <row r="40" spans="1:13">
      <c r="A40" s="513" t="s">
        <v>3007</v>
      </c>
      <c r="B40" s="514" t="s">
        <v>411</v>
      </c>
      <c r="C40" s="514"/>
      <c r="D40" s="514"/>
      <c r="E40" s="514">
        <v>45</v>
      </c>
      <c r="F40" s="515">
        <v>19592695379.959999</v>
      </c>
      <c r="G40" s="514">
        <f>SUM(G41:G45)</f>
        <v>53</v>
      </c>
      <c r="H40" s="515">
        <f>SUM(I40:L40)</f>
        <v>54815475384</v>
      </c>
      <c r="I40" s="515">
        <f>SUM(I41:I45)</f>
        <v>12249506730</v>
      </c>
      <c r="J40" s="515">
        <f>SUM(J41:J45)</f>
        <v>15974643428</v>
      </c>
      <c r="K40" s="515">
        <f>SUM(K41:K45)</f>
        <v>15116059928</v>
      </c>
      <c r="L40" s="515">
        <f>SUM(L41:L45)</f>
        <v>11475265298</v>
      </c>
    </row>
    <row r="41" spans="1:13" hidden="1" outlineLevel="1">
      <c r="A41" s="516">
        <v>1</v>
      </c>
      <c r="B41" s="258" t="s">
        <v>3002</v>
      </c>
      <c r="C41" s="258"/>
      <c r="D41" s="258"/>
      <c r="E41" s="258"/>
      <c r="F41" s="515"/>
      <c r="G41" s="258">
        <v>39</v>
      </c>
      <c r="H41" s="517">
        <f t="shared" si="3"/>
        <v>20803419384</v>
      </c>
      <c r="I41" s="517">
        <v>3572950730</v>
      </c>
      <c r="J41" s="517">
        <v>6657143428</v>
      </c>
      <c r="K41" s="517">
        <v>6718059928</v>
      </c>
      <c r="L41" s="517">
        <v>3855265298</v>
      </c>
    </row>
    <row r="42" spans="1:13" hidden="1" outlineLevel="1">
      <c r="A42" s="516">
        <v>2</v>
      </c>
      <c r="B42" s="258" t="s">
        <v>522</v>
      </c>
      <c r="C42" s="258"/>
      <c r="D42" s="258"/>
      <c r="E42" s="258"/>
      <c r="F42" s="515"/>
      <c r="G42" s="258">
        <v>3</v>
      </c>
      <c r="H42" s="517">
        <f t="shared" si="3"/>
        <v>0</v>
      </c>
      <c r="I42" s="517">
        <v>0</v>
      </c>
      <c r="J42" s="517"/>
      <c r="K42" s="517">
        <v>0</v>
      </c>
      <c r="L42" s="517">
        <v>0</v>
      </c>
    </row>
    <row r="43" spans="1:13" hidden="1" outlineLevel="1">
      <c r="A43" s="516">
        <v>3</v>
      </c>
      <c r="B43" s="258" t="s">
        <v>529</v>
      </c>
      <c r="C43" s="258"/>
      <c r="D43" s="258"/>
      <c r="E43" s="258"/>
      <c r="F43" s="515"/>
      <c r="G43" s="258">
        <v>2</v>
      </c>
      <c r="H43" s="517">
        <f t="shared" si="3"/>
        <v>2045856000</v>
      </c>
      <c r="I43" s="517">
        <v>2045856000</v>
      </c>
      <c r="J43" s="517">
        <v>0</v>
      </c>
      <c r="K43" s="517">
        <v>0</v>
      </c>
      <c r="L43" s="517">
        <v>0</v>
      </c>
    </row>
    <row r="44" spans="1:13" hidden="1" outlineLevel="1">
      <c r="A44" s="516">
        <v>4</v>
      </c>
      <c r="B44" s="258" t="s">
        <v>535</v>
      </c>
      <c r="C44" s="258"/>
      <c r="D44" s="258"/>
      <c r="E44" s="258"/>
      <c r="F44" s="515"/>
      <c r="G44" s="258">
        <v>3</v>
      </c>
      <c r="H44" s="517">
        <f t="shared" si="3"/>
        <v>688200000</v>
      </c>
      <c r="I44" s="517">
        <v>688200000</v>
      </c>
      <c r="J44" s="517">
        <v>0</v>
      </c>
      <c r="K44" s="517">
        <v>0</v>
      </c>
      <c r="L44" s="517">
        <v>0</v>
      </c>
    </row>
    <row r="45" spans="1:13" hidden="1" outlineLevel="1">
      <c r="A45" s="516">
        <v>5</v>
      </c>
      <c r="B45" s="258" t="s">
        <v>542</v>
      </c>
      <c r="C45" s="258"/>
      <c r="D45" s="258"/>
      <c r="E45" s="258"/>
      <c r="F45" s="515"/>
      <c r="G45" s="258">
        <v>6</v>
      </c>
      <c r="H45" s="517">
        <f t="shared" si="3"/>
        <v>31278000000</v>
      </c>
      <c r="I45" s="517">
        <v>5942500000</v>
      </c>
      <c r="J45" s="517">
        <v>9317500000</v>
      </c>
      <c r="K45" s="517">
        <v>8398000000</v>
      </c>
      <c r="L45" s="517">
        <v>7620000000</v>
      </c>
    </row>
    <row r="46" spans="1:13" collapsed="1">
      <c r="A46" s="513" t="s">
        <v>3008</v>
      </c>
      <c r="B46" s="514" t="s">
        <v>3018</v>
      </c>
      <c r="C46" s="514"/>
      <c r="D46" s="514"/>
      <c r="E46" s="514">
        <v>83</v>
      </c>
      <c r="F46" s="515">
        <f>(12154158408+344144000)</f>
        <v>12498302408</v>
      </c>
      <c r="G46" s="514">
        <v>183</v>
      </c>
      <c r="H46" s="515">
        <f>SUM(H47:H50)</f>
        <v>49945741180</v>
      </c>
      <c r="I46" s="515">
        <f>SUM(I47:I50)</f>
        <v>5450849665</v>
      </c>
      <c r="J46" s="515">
        <f>SUM(J47:J50)</f>
        <v>32616038225</v>
      </c>
      <c r="K46" s="515">
        <f>SUM(K47:K50)</f>
        <v>5977998665</v>
      </c>
      <c r="L46" s="515">
        <f>SUM(L47:L50)</f>
        <v>5900854625</v>
      </c>
    </row>
    <row r="47" spans="1:13" ht="18" hidden="1" customHeight="1" outlineLevel="1">
      <c r="A47" s="516">
        <v>1</v>
      </c>
      <c r="B47" s="258" t="s">
        <v>3034</v>
      </c>
      <c r="C47" s="258"/>
      <c r="D47" s="258"/>
      <c r="E47" s="258"/>
      <c r="F47" s="515"/>
      <c r="G47" s="258">
        <v>141</v>
      </c>
      <c r="H47" s="517">
        <f>SUM(I47:L47)</f>
        <v>18085960588</v>
      </c>
      <c r="I47" s="517">
        <v>3141029747</v>
      </c>
      <c r="J47" s="517">
        <v>6198440347</v>
      </c>
      <c r="K47" s="517">
        <v>4387643747</v>
      </c>
      <c r="L47" s="517">
        <v>4358846747</v>
      </c>
    </row>
    <row r="48" spans="1:13" hidden="1" outlineLevel="1">
      <c r="A48" s="516">
        <v>2</v>
      </c>
      <c r="B48" s="258" t="s">
        <v>3035</v>
      </c>
      <c r="C48" s="258"/>
      <c r="D48" s="258"/>
      <c r="E48" s="258"/>
      <c r="F48" s="515"/>
      <c r="G48" s="258">
        <v>39</v>
      </c>
      <c r="H48" s="517">
        <f t="shared" ref="H48:H54" si="4">SUM(I48:L48)</f>
        <v>6222935592</v>
      </c>
      <c r="I48" s="517">
        <v>1533654918</v>
      </c>
      <c r="J48" s="517">
        <v>1613617878</v>
      </c>
      <c r="K48" s="517">
        <v>1533654918</v>
      </c>
      <c r="L48" s="517">
        <v>1542007878</v>
      </c>
    </row>
    <row r="49" spans="1:12" hidden="1" outlineLevel="1">
      <c r="A49" s="516">
        <v>3</v>
      </c>
      <c r="B49" s="258" t="s">
        <v>3036</v>
      </c>
      <c r="C49" s="258"/>
      <c r="D49" s="258"/>
      <c r="E49" s="258"/>
      <c r="F49" s="515"/>
      <c r="G49" s="258">
        <v>16</v>
      </c>
      <c r="H49" s="517">
        <f t="shared" si="4"/>
        <v>1524375000</v>
      </c>
      <c r="I49" s="517">
        <v>776165000</v>
      </c>
      <c r="J49" s="517">
        <v>691510000</v>
      </c>
      <c r="K49" s="517">
        <v>56700000</v>
      </c>
      <c r="L49" s="517">
        <v>0</v>
      </c>
    </row>
    <row r="50" spans="1:12" hidden="1" outlineLevel="1">
      <c r="A50" s="516">
        <v>4</v>
      </c>
      <c r="B50" s="258" t="s">
        <v>3037</v>
      </c>
      <c r="C50" s="258"/>
      <c r="D50" s="258"/>
      <c r="E50" s="258"/>
      <c r="F50" s="515"/>
      <c r="G50" s="258">
        <v>4</v>
      </c>
      <c r="H50" s="517">
        <f t="shared" si="4"/>
        <v>24112470000</v>
      </c>
      <c r="I50" s="517">
        <v>0</v>
      </c>
      <c r="J50" s="517">
        <v>24112470000</v>
      </c>
      <c r="K50" s="517">
        <v>0</v>
      </c>
      <c r="L50" s="517">
        <v>0</v>
      </c>
    </row>
    <row r="51" spans="1:12" collapsed="1">
      <c r="A51" s="513" t="s">
        <v>3009</v>
      </c>
      <c r="B51" s="514" t="s">
        <v>3019</v>
      </c>
      <c r="C51" s="514"/>
      <c r="D51" s="514"/>
      <c r="E51" s="514">
        <v>15</v>
      </c>
      <c r="F51" s="515">
        <v>257603720</v>
      </c>
      <c r="G51" s="514">
        <v>88</v>
      </c>
      <c r="H51" s="515">
        <f t="shared" si="4"/>
        <v>597993000</v>
      </c>
      <c r="I51" s="515">
        <v>38500000</v>
      </c>
      <c r="J51" s="515">
        <f>SUM(J52:J54)</f>
        <v>522359000</v>
      </c>
      <c r="K51" s="515">
        <f>SUM(K52:K54)</f>
        <v>37134000</v>
      </c>
      <c r="L51" s="515">
        <v>0</v>
      </c>
    </row>
    <row r="52" spans="1:12" hidden="1" outlineLevel="1">
      <c r="A52" s="516">
        <v>2</v>
      </c>
      <c r="B52" s="258" t="s">
        <v>2071</v>
      </c>
      <c r="C52" s="258"/>
      <c r="D52" s="258"/>
      <c r="E52" s="258"/>
      <c r="F52" s="515"/>
      <c r="G52" s="258">
        <v>4</v>
      </c>
      <c r="H52" s="517">
        <f t="shared" si="4"/>
        <v>77816000</v>
      </c>
      <c r="I52" s="517">
        <v>0</v>
      </c>
      <c r="J52" s="517">
        <v>54304000</v>
      </c>
      <c r="K52" s="517">
        <v>23512000</v>
      </c>
      <c r="L52" s="517">
        <v>0</v>
      </c>
    </row>
    <row r="53" spans="1:12" hidden="1" outlineLevel="1">
      <c r="A53" s="516">
        <v>3</v>
      </c>
      <c r="B53" s="258" t="s">
        <v>810</v>
      </c>
      <c r="C53" s="258"/>
      <c r="D53" s="258"/>
      <c r="E53" s="258"/>
      <c r="F53" s="515"/>
      <c r="G53" s="258">
        <v>20</v>
      </c>
      <c r="H53" s="517">
        <f t="shared" si="4"/>
        <v>301049000</v>
      </c>
      <c r="I53" s="517">
        <v>38500000</v>
      </c>
      <c r="J53" s="517">
        <v>248927000</v>
      </c>
      <c r="K53" s="517">
        <v>13622000</v>
      </c>
      <c r="L53" s="517">
        <v>0</v>
      </c>
    </row>
    <row r="54" spans="1:12" hidden="1" outlineLevel="1">
      <c r="A54" s="516">
        <v>5</v>
      </c>
      <c r="B54" s="258" t="s">
        <v>2147</v>
      </c>
      <c r="C54" s="258"/>
      <c r="D54" s="258"/>
      <c r="E54" s="258"/>
      <c r="F54" s="515"/>
      <c r="G54" s="258">
        <v>6</v>
      </c>
      <c r="H54" s="517">
        <f t="shared" si="4"/>
        <v>219128000</v>
      </c>
      <c r="I54" s="517">
        <v>0</v>
      </c>
      <c r="J54" s="517">
        <v>219128000</v>
      </c>
      <c r="K54" s="517">
        <v>0</v>
      </c>
      <c r="L54" s="517">
        <v>0</v>
      </c>
    </row>
    <row r="55" spans="1:12" collapsed="1">
      <c r="A55" s="513" t="s">
        <v>3010</v>
      </c>
      <c r="B55" s="514" t="s">
        <v>2707</v>
      </c>
      <c r="C55" s="514"/>
      <c r="D55" s="514"/>
      <c r="E55" s="514">
        <v>56</v>
      </c>
      <c r="F55" s="515">
        <v>58614576340</v>
      </c>
      <c r="G55" s="514">
        <f t="shared" ref="G55:L55" si="5">SUM(G56:G60)</f>
        <v>57</v>
      </c>
      <c r="H55" s="515">
        <f t="shared" si="5"/>
        <v>136321083694.51999</v>
      </c>
      <c r="I55" s="515">
        <f t="shared" si="5"/>
        <v>46522230001.699997</v>
      </c>
      <c r="J55" s="515">
        <f t="shared" si="5"/>
        <v>37158330638.940002</v>
      </c>
      <c r="K55" s="515">
        <f t="shared" si="5"/>
        <v>28369399060.939999</v>
      </c>
      <c r="L55" s="515">
        <f t="shared" si="5"/>
        <v>24271123992.939999</v>
      </c>
    </row>
    <row r="56" spans="1:12" hidden="1" outlineLevel="1">
      <c r="A56" s="516">
        <v>1</v>
      </c>
      <c r="B56" s="258" t="s">
        <v>1246</v>
      </c>
      <c r="C56" s="258"/>
      <c r="D56" s="258"/>
      <c r="E56" s="258"/>
      <c r="F56" s="515"/>
      <c r="G56" s="258">
        <v>24</v>
      </c>
      <c r="H56" s="517">
        <f t="shared" ref="H56:H71" si="6">SUM(I56:L56)</f>
        <v>39963632134.519997</v>
      </c>
      <c r="I56" s="517">
        <v>19952162689.700001</v>
      </c>
      <c r="J56" s="517">
        <v>6670489814.9399996</v>
      </c>
      <c r="K56" s="517">
        <v>6670489814.9399996</v>
      </c>
      <c r="L56" s="517">
        <v>6670489814.9399996</v>
      </c>
    </row>
    <row r="57" spans="1:12" hidden="1" outlineLevel="1">
      <c r="A57" s="516">
        <v>2</v>
      </c>
      <c r="B57" s="258" t="s">
        <v>978</v>
      </c>
      <c r="C57" s="258"/>
      <c r="D57" s="258"/>
      <c r="E57" s="258"/>
      <c r="F57" s="515"/>
      <c r="G57" s="258">
        <v>10</v>
      </c>
      <c r="H57" s="517">
        <f t="shared" si="6"/>
        <v>6164201560</v>
      </c>
      <c r="I57" s="517">
        <v>1298360312</v>
      </c>
      <c r="J57" s="517">
        <v>2445220624</v>
      </c>
      <c r="K57" s="517">
        <v>2121980546</v>
      </c>
      <c r="L57" s="517">
        <v>298640078</v>
      </c>
    </row>
    <row r="58" spans="1:12" hidden="1" outlineLevel="1">
      <c r="A58" s="516">
        <v>3</v>
      </c>
      <c r="B58" s="258" t="s">
        <v>3038</v>
      </c>
      <c r="C58" s="258"/>
      <c r="D58" s="258"/>
      <c r="E58" s="258"/>
      <c r="F58" s="515"/>
      <c r="G58" s="258">
        <v>4</v>
      </c>
      <c r="H58" s="517">
        <f t="shared" si="6"/>
        <v>4790260000</v>
      </c>
      <c r="I58" s="517">
        <v>958052000</v>
      </c>
      <c r="J58" s="517">
        <v>1685695200</v>
      </c>
      <c r="K58" s="517">
        <v>1191151200</v>
      </c>
      <c r="L58" s="517">
        <v>955361600</v>
      </c>
    </row>
    <row r="59" spans="1:12" hidden="1" outlineLevel="1">
      <c r="A59" s="516">
        <v>4</v>
      </c>
      <c r="B59" s="258" t="s">
        <v>3039</v>
      </c>
      <c r="C59" s="258"/>
      <c r="D59" s="258"/>
      <c r="E59" s="258"/>
      <c r="F59" s="515"/>
      <c r="G59" s="258">
        <v>4</v>
      </c>
      <c r="H59" s="517">
        <f t="shared" si="6"/>
        <v>9084850000</v>
      </c>
      <c r="I59" s="517">
        <v>1513895000</v>
      </c>
      <c r="J59" s="517">
        <v>3330865000</v>
      </c>
      <c r="K59" s="517">
        <v>3139617500</v>
      </c>
      <c r="L59" s="517">
        <v>1100472500</v>
      </c>
    </row>
    <row r="60" spans="1:12" hidden="1" outlineLevel="1">
      <c r="A60" s="516">
        <v>5</v>
      </c>
      <c r="B60" s="258" t="s">
        <v>3040</v>
      </c>
      <c r="C60" s="258"/>
      <c r="D60" s="258"/>
      <c r="E60" s="258"/>
      <c r="F60" s="515"/>
      <c r="G60" s="258">
        <v>15</v>
      </c>
      <c r="H60" s="517">
        <f t="shared" si="6"/>
        <v>76318140000</v>
      </c>
      <c r="I60" s="517">
        <v>22799760000</v>
      </c>
      <c r="J60" s="517">
        <v>23026060000</v>
      </c>
      <c r="K60" s="517">
        <v>15246160000</v>
      </c>
      <c r="L60" s="517">
        <v>15246160000</v>
      </c>
    </row>
    <row r="61" spans="1:12" collapsed="1">
      <c r="A61" s="513" t="s">
        <v>3011</v>
      </c>
      <c r="B61" s="514" t="s">
        <v>3020</v>
      </c>
      <c r="C61" s="514"/>
      <c r="D61" s="514"/>
      <c r="E61" s="514">
        <v>460</v>
      </c>
      <c r="F61" s="515">
        <v>53190996879.07</v>
      </c>
      <c r="G61" s="514">
        <v>597</v>
      </c>
      <c r="H61" s="515">
        <f t="shared" si="6"/>
        <v>60217989160.790001</v>
      </c>
      <c r="I61" s="515">
        <v>83296746</v>
      </c>
      <c r="J61" s="515">
        <v>35126705678.349998</v>
      </c>
      <c r="K61" s="515">
        <v>20369583435.09</v>
      </c>
      <c r="L61" s="515">
        <v>4638403301.3500004</v>
      </c>
    </row>
    <row r="62" spans="1:12">
      <c r="A62" s="513" t="s">
        <v>3012</v>
      </c>
      <c r="B62" s="514" t="s">
        <v>3021</v>
      </c>
      <c r="C62" s="514"/>
      <c r="D62" s="514"/>
      <c r="E62" s="514">
        <v>102</v>
      </c>
      <c r="F62" s="515">
        <v>19265510674</v>
      </c>
      <c r="G62" s="514">
        <f>SUM(G63:G71)</f>
        <v>51</v>
      </c>
      <c r="H62" s="515">
        <f t="shared" si="6"/>
        <v>16072763698.060001</v>
      </c>
      <c r="I62" s="515">
        <f>SUM(I63:I71)</f>
        <v>0</v>
      </c>
      <c r="J62" s="515">
        <f>SUM(J63:J71)</f>
        <v>6521085875</v>
      </c>
      <c r="K62" s="515">
        <f>SUM(K63:K71)</f>
        <v>4941404035.6999998</v>
      </c>
      <c r="L62" s="515">
        <f>SUM(L63:L71)</f>
        <v>4610273787.3599997</v>
      </c>
    </row>
    <row r="63" spans="1:12" hidden="1" outlineLevel="1">
      <c r="A63" s="516">
        <v>1</v>
      </c>
      <c r="B63" s="258" t="s">
        <v>3041</v>
      </c>
      <c r="C63" s="258"/>
      <c r="D63" s="258"/>
      <c r="E63" s="258"/>
      <c r="F63" s="515"/>
      <c r="G63" s="514">
        <v>4</v>
      </c>
      <c r="H63" s="517">
        <v>17608102</v>
      </c>
      <c r="I63" s="517">
        <v>0</v>
      </c>
      <c r="J63" s="517">
        <v>10404060</v>
      </c>
      <c r="K63" s="517">
        <v>6904060</v>
      </c>
      <c r="L63" s="517"/>
    </row>
    <row r="64" spans="1:12" hidden="1" outlineLevel="1">
      <c r="A64" s="516">
        <v>2</v>
      </c>
      <c r="B64" s="258" t="s">
        <v>1796</v>
      </c>
      <c r="C64" s="258"/>
      <c r="D64" s="258"/>
      <c r="E64" s="258"/>
      <c r="F64" s="515"/>
      <c r="G64" s="258">
        <v>17</v>
      </c>
      <c r="H64" s="517">
        <f t="shared" si="6"/>
        <v>386928316.06</v>
      </c>
      <c r="I64" s="517">
        <v>0</v>
      </c>
      <c r="J64" s="517">
        <v>172910988</v>
      </c>
      <c r="K64" s="517">
        <v>126389050.7</v>
      </c>
      <c r="L64" s="517">
        <v>87628277.359999999</v>
      </c>
    </row>
    <row r="65" spans="1:12" hidden="1" outlineLevel="1">
      <c r="A65" s="516">
        <v>3</v>
      </c>
      <c r="B65" s="258" t="s">
        <v>3042</v>
      </c>
      <c r="C65" s="258"/>
      <c r="D65" s="258"/>
      <c r="E65" s="258"/>
      <c r="F65" s="515"/>
      <c r="G65" s="258">
        <v>3</v>
      </c>
      <c r="H65" s="517">
        <f t="shared" si="6"/>
        <v>50050000</v>
      </c>
      <c r="I65" s="517">
        <v>0</v>
      </c>
      <c r="J65" s="517">
        <v>27300000</v>
      </c>
      <c r="K65" s="517">
        <v>22750000</v>
      </c>
      <c r="L65" s="517">
        <v>0</v>
      </c>
    </row>
    <row r="66" spans="1:12" hidden="1" outlineLevel="1">
      <c r="A66" s="516">
        <v>4</v>
      </c>
      <c r="B66" s="258" t="s">
        <v>3043</v>
      </c>
      <c r="C66" s="258"/>
      <c r="D66" s="258"/>
      <c r="E66" s="258"/>
      <c r="F66" s="515"/>
      <c r="G66" s="258">
        <v>5</v>
      </c>
      <c r="H66" s="517">
        <f t="shared" si="6"/>
        <v>99143616</v>
      </c>
      <c r="I66" s="517">
        <v>0</v>
      </c>
      <c r="J66" s="517">
        <v>82564416</v>
      </c>
      <c r="K66" s="517">
        <v>16579200</v>
      </c>
      <c r="L66" s="517">
        <v>0</v>
      </c>
    </row>
    <row r="67" spans="1:12" hidden="1" outlineLevel="1">
      <c r="A67" s="516">
        <v>5</v>
      </c>
      <c r="B67" s="258" t="s">
        <v>1833</v>
      </c>
      <c r="C67" s="258"/>
      <c r="D67" s="258"/>
      <c r="E67" s="258"/>
      <c r="F67" s="515"/>
      <c r="G67" s="258">
        <v>4</v>
      </c>
      <c r="H67" s="517">
        <f t="shared" si="6"/>
        <v>126972266</v>
      </c>
      <c r="I67" s="517">
        <v>0</v>
      </c>
      <c r="J67" s="517">
        <v>71924801</v>
      </c>
      <c r="K67" s="517">
        <v>55047465</v>
      </c>
      <c r="L67" s="517">
        <v>0</v>
      </c>
    </row>
    <row r="68" spans="1:12" hidden="1" outlineLevel="1">
      <c r="A68" s="516">
        <v>6</v>
      </c>
      <c r="B68" s="258" t="s">
        <v>3044</v>
      </c>
      <c r="C68" s="258"/>
      <c r="D68" s="258"/>
      <c r="E68" s="258"/>
      <c r="F68" s="515"/>
      <c r="G68" s="258">
        <v>4</v>
      </c>
      <c r="H68" s="517">
        <f t="shared" si="6"/>
        <v>84312250</v>
      </c>
      <c r="I68" s="517">
        <v>0</v>
      </c>
      <c r="J68" s="517">
        <v>61021730</v>
      </c>
      <c r="K68" s="517">
        <v>16848260</v>
      </c>
      <c r="L68" s="517">
        <v>6442260</v>
      </c>
    </row>
    <row r="69" spans="1:12" hidden="1" outlineLevel="1">
      <c r="A69" s="516">
        <v>7</v>
      </c>
      <c r="B69" s="258" t="s">
        <v>1846</v>
      </c>
      <c r="C69" s="258"/>
      <c r="D69" s="258"/>
      <c r="E69" s="258"/>
      <c r="F69" s="515"/>
      <c r="G69" s="258">
        <v>5</v>
      </c>
      <c r="H69" s="517">
        <f t="shared" si="6"/>
        <v>136840880</v>
      </c>
      <c r="I69" s="517">
        <v>0</v>
      </c>
      <c r="J69" s="517">
        <v>68668380</v>
      </c>
      <c r="K69" s="517">
        <v>40364500</v>
      </c>
      <c r="L69" s="517">
        <v>27808000</v>
      </c>
    </row>
    <row r="70" spans="1:12" hidden="1" outlineLevel="1">
      <c r="A70" s="516">
        <v>8</v>
      </c>
      <c r="B70" s="258" t="s">
        <v>3045</v>
      </c>
      <c r="C70" s="258"/>
      <c r="D70" s="258"/>
      <c r="E70" s="258"/>
      <c r="F70" s="515"/>
      <c r="G70" s="258">
        <v>3</v>
      </c>
      <c r="H70" s="517">
        <f t="shared" si="6"/>
        <v>15203000</v>
      </c>
      <c r="I70" s="517">
        <v>0</v>
      </c>
      <c r="J70" s="517">
        <v>8422500</v>
      </c>
      <c r="K70" s="517">
        <v>6780500</v>
      </c>
      <c r="L70" s="517">
        <v>0</v>
      </c>
    </row>
    <row r="71" spans="1:12" hidden="1" outlineLevel="1">
      <c r="A71" s="516">
        <v>9</v>
      </c>
      <c r="B71" s="258" t="s">
        <v>2081</v>
      </c>
      <c r="C71" s="258"/>
      <c r="D71" s="258"/>
      <c r="E71" s="258"/>
      <c r="F71" s="515"/>
      <c r="G71" s="258">
        <v>6</v>
      </c>
      <c r="H71" s="517">
        <f t="shared" si="6"/>
        <v>15156005250</v>
      </c>
      <c r="I71" s="517">
        <v>0</v>
      </c>
      <c r="J71" s="517">
        <v>6017869000</v>
      </c>
      <c r="K71" s="517">
        <v>4649741000</v>
      </c>
      <c r="L71" s="517">
        <v>4488395250</v>
      </c>
    </row>
    <row r="72" spans="1:12" collapsed="1">
      <c r="A72" s="513" t="s">
        <v>3013</v>
      </c>
      <c r="B72" s="514" t="s">
        <v>3022</v>
      </c>
      <c r="C72" s="514"/>
      <c r="D72" s="514"/>
      <c r="E72" s="514"/>
      <c r="F72" s="515"/>
      <c r="G72" s="514">
        <f t="shared" ref="G72:L72" si="7">SUM(G73:G75)</f>
        <v>63</v>
      </c>
      <c r="H72" s="515">
        <f t="shared" si="7"/>
        <v>2899260400</v>
      </c>
      <c r="I72" s="515">
        <f t="shared" si="7"/>
        <v>1110447500</v>
      </c>
      <c r="J72" s="515">
        <f t="shared" si="7"/>
        <v>1114600200</v>
      </c>
      <c r="K72" s="515">
        <f t="shared" si="7"/>
        <v>453318900</v>
      </c>
      <c r="L72" s="515">
        <f t="shared" si="7"/>
        <v>220893800</v>
      </c>
    </row>
    <row r="73" spans="1:12" hidden="1" outlineLevel="1">
      <c r="A73" s="516">
        <v>1</v>
      </c>
      <c r="B73" s="258" t="s">
        <v>3058</v>
      </c>
      <c r="C73" s="258"/>
      <c r="D73" s="258"/>
      <c r="E73" s="258"/>
      <c r="F73" s="515"/>
      <c r="G73" s="258">
        <v>19</v>
      </c>
      <c r="H73" s="517">
        <f>SUM(I73:L73)</f>
        <v>1297780400</v>
      </c>
      <c r="I73" s="517">
        <v>121402500</v>
      </c>
      <c r="J73" s="517">
        <v>551240200</v>
      </c>
      <c r="K73" s="517">
        <v>410243900</v>
      </c>
      <c r="L73" s="517">
        <v>214893800</v>
      </c>
    </row>
    <row r="74" spans="1:12" hidden="1" outlineLevel="1">
      <c r="A74" s="516">
        <v>2</v>
      </c>
      <c r="B74" s="258" t="s">
        <v>3057</v>
      </c>
      <c r="C74" s="258"/>
      <c r="D74" s="258"/>
      <c r="E74" s="258"/>
      <c r="F74" s="515"/>
      <c r="G74" s="258">
        <v>13</v>
      </c>
      <c r="H74" s="517">
        <f>SUM(I74:L74)</f>
        <v>185650000</v>
      </c>
      <c r="I74" s="517">
        <v>38500000</v>
      </c>
      <c r="J74" s="517">
        <v>143550000</v>
      </c>
      <c r="K74" s="517">
        <v>3600000</v>
      </c>
      <c r="L74" s="517">
        <v>0</v>
      </c>
    </row>
    <row r="75" spans="1:12" hidden="1" outlineLevel="1">
      <c r="A75" s="516">
        <v>3</v>
      </c>
      <c r="B75" s="258" t="s">
        <v>3056</v>
      </c>
      <c r="C75" s="258"/>
      <c r="D75" s="258"/>
      <c r="E75" s="258"/>
      <c r="F75" s="515"/>
      <c r="G75" s="258">
        <v>31</v>
      </c>
      <c r="H75" s="517">
        <f>SUM(I75:L75)</f>
        <v>1415830000</v>
      </c>
      <c r="I75" s="517">
        <v>950545000</v>
      </c>
      <c r="J75" s="517">
        <v>419810000</v>
      </c>
      <c r="K75" s="517">
        <v>39475000</v>
      </c>
      <c r="L75" s="517">
        <v>6000000</v>
      </c>
    </row>
    <row r="76" spans="1:12" collapsed="1">
      <c r="A76" s="513" t="s">
        <v>3014</v>
      </c>
      <c r="B76" s="514" t="s">
        <v>3055</v>
      </c>
      <c r="C76" s="514"/>
      <c r="D76" s="514"/>
      <c r="E76" s="514"/>
      <c r="F76" s="515"/>
      <c r="G76" s="514">
        <f t="shared" ref="G76:L76" si="8">SUM(G77:G78)</f>
        <v>79</v>
      </c>
      <c r="H76" s="515">
        <f t="shared" si="8"/>
        <v>1060102650</v>
      </c>
      <c r="I76" s="515">
        <f t="shared" si="8"/>
        <v>95979400</v>
      </c>
      <c r="J76" s="515">
        <f t="shared" si="8"/>
        <v>727371350</v>
      </c>
      <c r="K76" s="515">
        <f t="shared" si="8"/>
        <v>198735900</v>
      </c>
      <c r="L76" s="515">
        <f t="shared" si="8"/>
        <v>38016000</v>
      </c>
    </row>
    <row r="77" spans="1:12" hidden="1" outlineLevel="1">
      <c r="A77" s="516">
        <v>1</v>
      </c>
      <c r="B77" s="258" t="s">
        <v>3056</v>
      </c>
      <c r="C77" s="258"/>
      <c r="D77" s="258"/>
      <c r="E77" s="258"/>
      <c r="F77" s="515"/>
      <c r="G77" s="258">
        <v>34</v>
      </c>
      <c r="H77" s="517">
        <f>SUM(I77:L77)</f>
        <v>800940800</v>
      </c>
      <c r="I77" s="517">
        <v>95979400</v>
      </c>
      <c r="J77" s="517">
        <v>497689500</v>
      </c>
      <c r="K77" s="517">
        <v>169255900</v>
      </c>
      <c r="L77" s="517">
        <v>38016000</v>
      </c>
    </row>
    <row r="78" spans="1:12" hidden="1" outlineLevel="1">
      <c r="A78" s="516">
        <v>2</v>
      </c>
      <c r="B78" s="258" t="s">
        <v>3057</v>
      </c>
      <c r="C78" s="258"/>
      <c r="D78" s="258"/>
      <c r="E78" s="258"/>
      <c r="F78" s="515"/>
      <c r="G78" s="258">
        <v>45</v>
      </c>
      <c r="H78" s="517">
        <f>SUM(I78:L78)</f>
        <v>259161850</v>
      </c>
      <c r="I78" s="517">
        <v>0</v>
      </c>
      <c r="J78" s="517">
        <v>229681850</v>
      </c>
      <c r="K78" s="517">
        <v>29480000</v>
      </c>
      <c r="L78" s="517">
        <v>0</v>
      </c>
    </row>
    <row r="79" spans="1:12" collapsed="1">
      <c r="A79" s="513" t="s">
        <v>3054</v>
      </c>
      <c r="B79" s="514" t="s">
        <v>3023</v>
      </c>
      <c r="C79" s="514"/>
      <c r="D79" s="514"/>
      <c r="E79" s="514">
        <v>225</v>
      </c>
      <c r="F79" s="515">
        <v>49522711404</v>
      </c>
      <c r="G79" s="514">
        <v>201</v>
      </c>
      <c r="H79" s="515">
        <v>209627515479.17999</v>
      </c>
      <c r="I79" s="515">
        <v>84515649016.25</v>
      </c>
      <c r="J79" s="515">
        <v>44230154018.010002</v>
      </c>
      <c r="K79" s="515">
        <v>40640692331.480003</v>
      </c>
      <c r="L79" s="515">
        <v>40241020113.440002</v>
      </c>
    </row>
    <row r="80" spans="1:12">
      <c r="A80" s="1014" t="s">
        <v>2708</v>
      </c>
      <c r="B80" s="1015"/>
      <c r="C80" s="520"/>
      <c r="D80" s="520"/>
      <c r="E80" s="521"/>
      <c r="F80" s="522">
        <f>SUM(F5:F79)</f>
        <v>295121571473.67999</v>
      </c>
      <c r="G80" s="521"/>
      <c r="H80" s="519">
        <f>SUM(H79,H76,H72,H62,H61,H55,H51,H46,H40,H39,H34,H29,H5)</f>
        <v>641502814431.04993</v>
      </c>
      <c r="I80" s="519">
        <f>SUM(I79,I76,I72,I62,I61,I55,I51,I46,I40,I39,I34,I29,I5)</f>
        <v>168967849744.95001</v>
      </c>
      <c r="J80" s="519">
        <f>SUM(J79,J76,J72,J62,J61,J55,J51,J46,J40,J39,J34,J29,J5)</f>
        <v>204935810642.29999</v>
      </c>
      <c r="K80" s="519">
        <f>SUM(K79,K76,K72,K62,K61,K55,K51,K46,K40,K39,K34,K29,K5)</f>
        <v>147968686916.71002</v>
      </c>
      <c r="L80" s="519">
        <f>SUM(L79,L76,L72,L62,L61,L55,L51,L46,L40,L39,L34,L29,L5)</f>
        <v>119630467127.09</v>
      </c>
    </row>
    <row r="81" spans="1:12">
      <c r="A81" s="513"/>
      <c r="B81" s="817"/>
      <c r="C81" s="817"/>
      <c r="D81" s="817"/>
      <c r="E81" s="817"/>
      <c r="F81" s="515"/>
      <c r="G81" s="817"/>
      <c r="H81" s="515"/>
      <c r="I81" s="515"/>
      <c r="J81" s="510"/>
      <c r="K81" s="510"/>
      <c r="L81" s="510"/>
    </row>
  </sheetData>
  <customSheetViews>
    <customSheetView guid="{750F99BE-5C19-4848-A09A-0E4FD0F9F8FC}" scale="85" hiddenRows="1">
      <selection activeCell="D87" sqref="D87"/>
      <pageMargins left="0.7" right="0.7" top="0.75" bottom="0.75" header="0.3" footer="0.3"/>
      <pageSetup paperSize="9" orientation="portrait" verticalDpi="0" r:id="rId1"/>
    </customSheetView>
    <customSheetView guid="{DEF9C65D-F8A0-4631-A6BF-69DD462E745F}" scale="85" hiddenRows="1">
      <selection activeCell="D87" sqref="D87"/>
      <pageMargins left="0.7" right="0.7" top="0.75" bottom="0.75" header="0.3" footer="0.3"/>
      <pageSetup paperSize="9" orientation="portrait" verticalDpi="0" r:id="rId2"/>
    </customSheetView>
    <customSheetView guid="{F53706EC-596C-4347-9C22-A701412B0A41}" scale="85" hiddenRows="1">
      <selection activeCell="D87" sqref="D87"/>
      <pageMargins left="0.7" right="0.7" top="0.75" bottom="0.75" header="0.3" footer="0.3"/>
      <pageSetup paperSize="9" orientation="portrait" verticalDpi="0" r:id="rId3"/>
    </customSheetView>
    <customSheetView guid="{93AFD236-396B-4FF3-AB41-05714D8754DB}" scale="85" hiddenRows="1">
      <selection activeCell="D87" sqref="D87"/>
      <pageMargins left="0.7" right="0.7" top="0.75" bottom="0.75" header="0.3" footer="0.3"/>
      <pageSetup paperSize="9" orientation="portrait" verticalDpi="0" r:id="rId4"/>
    </customSheetView>
  </customSheetViews>
  <mergeCells count="8">
    <mergeCell ref="A4:B4"/>
    <mergeCell ref="A80:B80"/>
    <mergeCell ref="A1:L1"/>
    <mergeCell ref="G2:L2"/>
    <mergeCell ref="E2:F2"/>
    <mergeCell ref="B2:B3"/>
    <mergeCell ref="A2:A3"/>
    <mergeCell ref="C2:D2"/>
  </mergeCells>
  <pageMargins left="0.7" right="0.7" top="0.75" bottom="0.75" header="0.3" footer="0.3"/>
  <pageSetup paperSize="9" orientation="portrait" verticalDpi="36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U75"/>
  <sheetViews>
    <sheetView topLeftCell="B1" zoomScale="85" zoomScaleNormal="85" workbookViewId="0">
      <selection activeCell="N1" sqref="N1:U1048576"/>
    </sheetView>
  </sheetViews>
  <sheetFormatPr defaultColWidth="32.85546875" defaultRowHeight="15"/>
  <cols>
    <col min="1" max="1" width="4" bestFit="1" customWidth="1"/>
    <col min="2" max="2" width="44.140625" customWidth="1"/>
    <col min="3" max="3" width="30.85546875" bestFit="1" customWidth="1"/>
    <col min="4" max="4" width="12.85546875" bestFit="1" customWidth="1"/>
    <col min="5" max="5" width="20.7109375" customWidth="1"/>
    <col min="6" max="6" width="7.140625" hidden="1" customWidth="1"/>
    <col min="7" max="8" width="8.7109375" hidden="1" customWidth="1"/>
    <col min="9" max="10" width="8.7109375" bestFit="1" customWidth="1"/>
    <col min="11" max="11" width="17.28515625" hidden="1" customWidth="1"/>
    <col min="12" max="12" width="22.85546875" hidden="1" customWidth="1"/>
    <col min="13" max="13" width="25" hidden="1" customWidth="1"/>
    <col min="14" max="14" width="24.42578125" hidden="1" customWidth="1"/>
    <col min="15" max="15" width="25.5703125" hidden="1" customWidth="1"/>
    <col min="16" max="16" width="23.85546875" hidden="1" customWidth="1"/>
    <col min="17" max="17" width="21.5703125" hidden="1" customWidth="1"/>
    <col min="18" max="18" width="20" hidden="1" customWidth="1"/>
    <col min="19" max="19" width="16.5703125" hidden="1" customWidth="1"/>
    <col min="20" max="20" width="9.42578125" hidden="1" customWidth="1"/>
    <col min="21" max="21" width="19.5703125" hidden="1" customWidth="1"/>
  </cols>
  <sheetData>
    <row r="1" spans="1:21">
      <c r="A1" s="1184" t="s">
        <v>595</v>
      </c>
      <c r="B1" s="1185" t="s">
        <v>272</v>
      </c>
      <c r="C1" s="1185" t="s">
        <v>273</v>
      </c>
      <c r="D1" s="1183" t="s">
        <v>274</v>
      </c>
      <c r="E1" s="1185" t="s">
        <v>1</v>
      </c>
      <c r="F1" s="1186" t="s">
        <v>275</v>
      </c>
      <c r="G1" s="1183" t="s">
        <v>2</v>
      </c>
      <c r="H1" s="1183"/>
      <c r="I1" s="1183"/>
      <c r="J1" s="1183"/>
      <c r="K1" s="1180" t="s">
        <v>2881</v>
      </c>
      <c r="L1" s="1180" t="s">
        <v>2882</v>
      </c>
      <c r="M1" s="1180" t="s">
        <v>2883</v>
      </c>
      <c r="N1" s="1180" t="s">
        <v>2884</v>
      </c>
      <c r="O1" s="1180" t="s">
        <v>2885</v>
      </c>
      <c r="P1" s="1180" t="s">
        <v>2886</v>
      </c>
      <c r="Q1" s="1088" t="s">
        <v>4230</v>
      </c>
      <c r="R1" s="1119" t="s">
        <v>4700</v>
      </c>
      <c r="S1" s="1119" t="s">
        <v>4701</v>
      </c>
      <c r="T1" s="1119" t="s">
        <v>4702</v>
      </c>
      <c r="U1" s="1119" t="s">
        <v>2882</v>
      </c>
    </row>
    <row r="2" spans="1:21">
      <c r="A2" s="1184"/>
      <c r="B2" s="1185"/>
      <c r="C2" s="1185"/>
      <c r="D2" s="1183"/>
      <c r="E2" s="1185"/>
      <c r="F2" s="1186"/>
      <c r="G2" s="835" t="s">
        <v>3</v>
      </c>
      <c r="H2" s="835" t="s">
        <v>4</v>
      </c>
      <c r="I2" s="835" t="s">
        <v>5</v>
      </c>
      <c r="J2" s="835" t="s">
        <v>6</v>
      </c>
      <c r="K2" s="1180"/>
      <c r="L2" s="1180"/>
      <c r="M2" s="1180"/>
      <c r="N2" s="1180"/>
      <c r="O2" s="1180"/>
      <c r="P2" s="1199"/>
      <c r="Q2" s="1089"/>
      <c r="R2" s="1119"/>
      <c r="S2" s="1119"/>
      <c r="T2" s="1119"/>
      <c r="U2" s="1119"/>
    </row>
    <row r="3" spans="1:21" s="20" customFormat="1">
      <c r="A3" s="1190" t="s">
        <v>1245</v>
      </c>
      <c r="B3" s="1187"/>
      <c r="C3" s="1187"/>
      <c r="D3" s="1187"/>
      <c r="E3" s="1187"/>
      <c r="F3" s="1187"/>
      <c r="G3" s="1187"/>
      <c r="H3" s="1187"/>
      <c r="I3" s="1187"/>
      <c r="J3" s="1200"/>
      <c r="K3" s="376"/>
      <c r="L3" s="376"/>
      <c r="M3" s="376"/>
      <c r="N3" s="376"/>
      <c r="O3" s="376"/>
      <c r="P3" s="377"/>
      <c r="R3" s="464"/>
      <c r="S3" s="464"/>
      <c r="T3" s="464"/>
      <c r="U3" s="464"/>
    </row>
    <row r="4" spans="1:21" s="21" customFormat="1" ht="60">
      <c r="A4" s="23">
        <v>1</v>
      </c>
      <c r="B4" s="874" t="s">
        <v>1246</v>
      </c>
      <c r="C4" s="874" t="s">
        <v>1951</v>
      </c>
      <c r="D4" s="875">
        <v>342</v>
      </c>
      <c r="E4" s="23" t="s">
        <v>286</v>
      </c>
      <c r="F4" s="23"/>
      <c r="G4" s="876">
        <v>171</v>
      </c>
      <c r="H4" s="876">
        <v>57</v>
      </c>
      <c r="I4" s="876">
        <v>57</v>
      </c>
      <c r="J4" s="876">
        <v>57</v>
      </c>
      <c r="K4" s="877">
        <v>3641127.95</v>
      </c>
      <c r="L4" s="222">
        <f>K4*D4</f>
        <v>1245265758.9000001</v>
      </c>
      <c r="M4" s="489">
        <f>K4*G4</f>
        <v>622632879.45000005</v>
      </c>
      <c r="N4" s="489">
        <f>K4*H4</f>
        <v>207544293.15000001</v>
      </c>
      <c r="O4" s="489">
        <f>K4*I4</f>
        <v>207544293.15000001</v>
      </c>
      <c r="P4" s="378">
        <f>K4*J4</f>
        <v>207544293.15000001</v>
      </c>
      <c r="Q4" s="909" t="s">
        <v>4719</v>
      </c>
      <c r="R4" s="463" t="s">
        <v>4805</v>
      </c>
      <c r="S4" s="465">
        <f>40+26</f>
        <v>66</v>
      </c>
      <c r="T4" s="907">
        <f>D4-S4</f>
        <v>276</v>
      </c>
      <c r="U4" s="221">
        <f>136533600+88058880</f>
        <v>224592480</v>
      </c>
    </row>
    <row r="5" spans="1:21" s="21" customFormat="1" ht="60">
      <c r="A5" s="23">
        <v>2</v>
      </c>
      <c r="B5" s="466" t="s">
        <v>1246</v>
      </c>
      <c r="C5" s="466" t="s">
        <v>1950</v>
      </c>
      <c r="D5" s="878">
        <v>750</v>
      </c>
      <c r="E5" s="23" t="s">
        <v>286</v>
      </c>
      <c r="F5" s="23"/>
      <c r="G5" s="876">
        <v>375</v>
      </c>
      <c r="H5" s="876">
        <v>125</v>
      </c>
      <c r="I5" s="876">
        <v>125</v>
      </c>
      <c r="J5" s="876">
        <v>125</v>
      </c>
      <c r="K5" s="877">
        <v>3641127.95</v>
      </c>
      <c r="L5" s="222">
        <f t="shared" ref="L5:L27" si="0">K5*D5</f>
        <v>2730845962.5</v>
      </c>
      <c r="M5" s="489">
        <f>K5*G5</f>
        <v>1365422981.25</v>
      </c>
      <c r="N5" s="489">
        <f>K5*H5</f>
        <v>455140993.75</v>
      </c>
      <c r="O5" s="489">
        <f>K5*I5</f>
        <v>455140993.75</v>
      </c>
      <c r="P5" s="378">
        <f>K5*J5</f>
        <v>455140993.75</v>
      </c>
      <c r="Q5" s="909" t="s">
        <v>4719</v>
      </c>
      <c r="R5" s="463" t="s">
        <v>4801</v>
      </c>
      <c r="S5" s="465">
        <f>37+123</f>
        <v>160</v>
      </c>
      <c r="T5" s="907">
        <f t="shared" ref="T5:T68" si="1">D5-S5</f>
        <v>590</v>
      </c>
      <c r="U5" s="221">
        <f>126293580+416586240</f>
        <v>542879820</v>
      </c>
    </row>
    <row r="6" spans="1:21" s="21" customFormat="1" ht="30">
      <c r="A6" s="23">
        <v>3</v>
      </c>
      <c r="B6" s="466" t="s">
        <v>1246</v>
      </c>
      <c r="C6" s="466" t="s">
        <v>1949</v>
      </c>
      <c r="D6" s="878">
        <v>277</v>
      </c>
      <c r="E6" s="23" t="s">
        <v>286</v>
      </c>
      <c r="F6" s="23"/>
      <c r="G6" s="876">
        <v>138.5</v>
      </c>
      <c r="H6" s="876">
        <v>46.166666666666664</v>
      </c>
      <c r="I6" s="876">
        <v>46.166666666666664</v>
      </c>
      <c r="J6" s="876">
        <v>46.166666666666664</v>
      </c>
      <c r="K6" s="877">
        <v>3970524.1</v>
      </c>
      <c r="L6" s="222">
        <f t="shared" si="0"/>
        <v>1099835175.7</v>
      </c>
      <c r="M6" s="489">
        <f t="shared" ref="M6:M68" si="2">K6*G6</f>
        <v>549917587.85000002</v>
      </c>
      <c r="N6" s="489">
        <f t="shared" ref="N6:N19" si="3">K6*H6</f>
        <v>183305862.61666667</v>
      </c>
      <c r="O6" s="489">
        <f t="shared" ref="O6:O68" si="4">K6*I6</f>
        <v>183305862.61666667</v>
      </c>
      <c r="P6" s="378">
        <f t="shared" ref="P6:P68" si="5">K6*J6</f>
        <v>183305862.61666667</v>
      </c>
      <c r="Q6" s="909" t="s">
        <v>4719</v>
      </c>
      <c r="R6" s="463" t="s">
        <v>4802</v>
      </c>
      <c r="S6" s="465">
        <v>120</v>
      </c>
      <c r="T6" s="907">
        <f t="shared" si="1"/>
        <v>157</v>
      </c>
      <c r="U6" s="221">
        <v>442552320</v>
      </c>
    </row>
    <row r="7" spans="1:21" s="21" customFormat="1" ht="90">
      <c r="A7" s="23">
        <v>4</v>
      </c>
      <c r="B7" s="466" t="s">
        <v>1246</v>
      </c>
      <c r="C7" s="466" t="s">
        <v>1948</v>
      </c>
      <c r="D7" s="878">
        <v>537</v>
      </c>
      <c r="E7" s="23" t="s">
        <v>286</v>
      </c>
      <c r="F7" s="23"/>
      <c r="G7" s="876">
        <v>268.5</v>
      </c>
      <c r="H7" s="876">
        <v>89.5</v>
      </c>
      <c r="I7" s="876">
        <v>89.5</v>
      </c>
      <c r="J7" s="876">
        <v>89.5</v>
      </c>
      <c r="K7" s="877">
        <v>3641127.95</v>
      </c>
      <c r="L7" s="222">
        <f t="shared" si="0"/>
        <v>1955285709.1500001</v>
      </c>
      <c r="M7" s="489">
        <f t="shared" si="2"/>
        <v>977642854.57500005</v>
      </c>
      <c r="N7" s="489">
        <f t="shared" si="3"/>
        <v>325880951.52500004</v>
      </c>
      <c r="O7" s="489">
        <f t="shared" si="4"/>
        <v>325880951.52500004</v>
      </c>
      <c r="P7" s="378">
        <f t="shared" si="5"/>
        <v>325880951.52500004</v>
      </c>
      <c r="Q7" s="909" t="s">
        <v>4719</v>
      </c>
      <c r="R7" s="463" t="s">
        <v>4807</v>
      </c>
      <c r="S7" s="465">
        <f>35+125+100</f>
        <v>260</v>
      </c>
      <c r="T7" s="907">
        <f t="shared" si="1"/>
        <v>277</v>
      </c>
      <c r="U7" s="221">
        <f>119466900+423360000+383850000</f>
        <v>926676900</v>
      </c>
    </row>
    <row r="8" spans="1:21" s="21" customFormat="1" ht="30">
      <c r="A8" s="23">
        <v>5</v>
      </c>
      <c r="B8" s="466" t="s">
        <v>1246</v>
      </c>
      <c r="C8" s="466" t="s">
        <v>1947</v>
      </c>
      <c r="D8" s="878">
        <v>175</v>
      </c>
      <c r="E8" s="23" t="s">
        <v>286</v>
      </c>
      <c r="F8" s="23"/>
      <c r="G8" s="876">
        <v>87.5</v>
      </c>
      <c r="H8" s="876">
        <v>29.166666666666668</v>
      </c>
      <c r="I8" s="876">
        <v>29.166666666666668</v>
      </c>
      <c r="J8" s="876">
        <v>29.166666666666668</v>
      </c>
      <c r="K8" s="877">
        <v>3641127.95</v>
      </c>
      <c r="L8" s="222">
        <f t="shared" si="0"/>
        <v>637197391.25</v>
      </c>
      <c r="M8" s="489">
        <f t="shared" si="2"/>
        <v>318598695.625</v>
      </c>
      <c r="N8" s="489">
        <f t="shared" si="3"/>
        <v>106199565.20833334</v>
      </c>
      <c r="O8" s="489">
        <f t="shared" si="4"/>
        <v>106199565.20833334</v>
      </c>
      <c r="P8" s="378">
        <f t="shared" si="5"/>
        <v>106199565.20833334</v>
      </c>
      <c r="Q8" s="909" t="s">
        <v>4719</v>
      </c>
      <c r="R8" s="826" t="s">
        <v>4723</v>
      </c>
      <c r="S8" s="465">
        <v>35</v>
      </c>
      <c r="T8" s="907">
        <f t="shared" si="1"/>
        <v>140</v>
      </c>
      <c r="U8" s="221">
        <v>119466900</v>
      </c>
    </row>
    <row r="9" spans="1:21" s="21" customFormat="1" ht="30">
      <c r="A9" s="23">
        <v>6</v>
      </c>
      <c r="B9" s="466" t="s">
        <v>1246</v>
      </c>
      <c r="C9" s="466" t="s">
        <v>1946</v>
      </c>
      <c r="D9" s="878">
        <v>125</v>
      </c>
      <c r="E9" s="23" t="s">
        <v>286</v>
      </c>
      <c r="F9" s="23"/>
      <c r="G9" s="876">
        <v>62.5</v>
      </c>
      <c r="H9" s="876">
        <v>20.833333333333332</v>
      </c>
      <c r="I9" s="876">
        <v>20.833333333333332</v>
      </c>
      <c r="J9" s="876">
        <v>20.833333333333332</v>
      </c>
      <c r="K9" s="877">
        <v>3641127.95</v>
      </c>
      <c r="L9" s="222">
        <f t="shared" si="0"/>
        <v>455140993.75</v>
      </c>
      <c r="M9" s="489">
        <f t="shared" si="2"/>
        <v>227570496.875</v>
      </c>
      <c r="N9" s="489">
        <f t="shared" si="3"/>
        <v>75856832.291666672</v>
      </c>
      <c r="O9" s="489">
        <f t="shared" si="4"/>
        <v>75856832.291666672</v>
      </c>
      <c r="P9" s="378">
        <f t="shared" si="5"/>
        <v>75856832.291666672</v>
      </c>
      <c r="Q9" s="909" t="s">
        <v>4719</v>
      </c>
      <c r="R9" s="826" t="s">
        <v>4803</v>
      </c>
      <c r="S9" s="465">
        <v>40</v>
      </c>
      <c r="T9" s="907">
        <f t="shared" si="1"/>
        <v>85</v>
      </c>
      <c r="U9" s="221">
        <v>135475200</v>
      </c>
    </row>
    <row r="10" spans="1:21" s="21" customFormat="1" ht="30">
      <c r="A10" s="23">
        <v>7</v>
      </c>
      <c r="B10" s="466" t="s">
        <v>1246</v>
      </c>
      <c r="C10" s="466" t="s">
        <v>1945</v>
      </c>
      <c r="D10" s="878">
        <v>240</v>
      </c>
      <c r="E10" s="23" t="s">
        <v>286</v>
      </c>
      <c r="F10" s="23"/>
      <c r="G10" s="876">
        <v>120</v>
      </c>
      <c r="H10" s="876">
        <v>40</v>
      </c>
      <c r="I10" s="876">
        <v>40</v>
      </c>
      <c r="J10" s="876">
        <v>40</v>
      </c>
      <c r="K10" s="877">
        <v>4132586.3</v>
      </c>
      <c r="L10" s="222">
        <f t="shared" si="0"/>
        <v>991820712</v>
      </c>
      <c r="M10" s="489">
        <f t="shared" si="2"/>
        <v>495910356</v>
      </c>
      <c r="N10" s="489">
        <f t="shared" si="3"/>
        <v>165303452</v>
      </c>
      <c r="O10" s="489">
        <f t="shared" si="4"/>
        <v>165303452</v>
      </c>
      <c r="P10" s="378">
        <f t="shared" si="5"/>
        <v>165303452</v>
      </c>
      <c r="Q10" s="909" t="s">
        <v>4719</v>
      </c>
      <c r="R10" s="826" t="s">
        <v>4804</v>
      </c>
      <c r="S10" s="465">
        <v>85</v>
      </c>
      <c r="T10" s="907">
        <f t="shared" si="1"/>
        <v>155</v>
      </c>
      <c r="U10" s="221">
        <v>287884800</v>
      </c>
    </row>
    <row r="11" spans="1:21" s="21" customFormat="1">
      <c r="A11" s="23">
        <v>8</v>
      </c>
      <c r="B11" s="466" t="s">
        <v>1246</v>
      </c>
      <c r="C11" s="466" t="s">
        <v>1944</v>
      </c>
      <c r="D11" s="878">
        <v>10</v>
      </c>
      <c r="E11" s="23" t="s">
        <v>286</v>
      </c>
      <c r="F11" s="23"/>
      <c r="G11" s="23">
        <f>D11*40/100</f>
        <v>4</v>
      </c>
      <c r="H11" s="23">
        <f>D11*20/100</f>
        <v>2</v>
      </c>
      <c r="I11" s="23">
        <f>D11*20/100</f>
        <v>2</v>
      </c>
      <c r="J11" s="220">
        <f>D11*20/100</f>
        <v>2</v>
      </c>
      <c r="K11" s="877">
        <v>4075148</v>
      </c>
      <c r="L11" s="222">
        <f t="shared" si="0"/>
        <v>40751480</v>
      </c>
      <c r="M11" s="489">
        <f t="shared" si="2"/>
        <v>16300592</v>
      </c>
      <c r="N11" s="489">
        <f t="shared" si="3"/>
        <v>8150296</v>
      </c>
      <c r="O11" s="489">
        <f t="shared" si="4"/>
        <v>8150296</v>
      </c>
      <c r="P11" s="378">
        <f t="shared" si="5"/>
        <v>8150296</v>
      </c>
      <c r="Q11" s="909" t="s">
        <v>4719</v>
      </c>
      <c r="R11" s="826"/>
      <c r="S11" s="465"/>
      <c r="T11" s="907">
        <f t="shared" si="1"/>
        <v>10</v>
      </c>
      <c r="U11" s="221"/>
    </row>
    <row r="12" spans="1:21" s="21" customFormat="1" ht="60">
      <c r="A12" s="23">
        <v>9</v>
      </c>
      <c r="B12" s="466" t="s">
        <v>1246</v>
      </c>
      <c r="C12" s="466" t="s">
        <v>1943</v>
      </c>
      <c r="D12" s="878">
        <v>1203</v>
      </c>
      <c r="E12" s="23" t="s">
        <v>286</v>
      </c>
      <c r="F12" s="23"/>
      <c r="G12" s="876">
        <v>601.5</v>
      </c>
      <c r="H12" s="876">
        <v>200.5</v>
      </c>
      <c r="I12" s="876">
        <v>200.5</v>
      </c>
      <c r="J12" s="876">
        <v>200.5</v>
      </c>
      <c r="K12" s="877">
        <v>4482925.74</v>
      </c>
      <c r="L12" s="222">
        <f>K12*D12</f>
        <v>5392959665.2200003</v>
      </c>
      <c r="M12" s="489">
        <f t="shared" si="2"/>
        <v>2696479832.6100001</v>
      </c>
      <c r="N12" s="489">
        <f t="shared" si="3"/>
        <v>898826610.87</v>
      </c>
      <c r="O12" s="489">
        <f t="shared" si="4"/>
        <v>898826610.87</v>
      </c>
      <c r="P12" s="378">
        <f t="shared" si="5"/>
        <v>898826610.87</v>
      </c>
      <c r="Q12" s="909" t="s">
        <v>4719</v>
      </c>
      <c r="R12" s="826" t="s">
        <v>4779</v>
      </c>
      <c r="S12" s="465">
        <f>150+490</f>
        <v>640</v>
      </c>
      <c r="T12" s="907">
        <f t="shared" si="1"/>
        <v>563</v>
      </c>
      <c r="U12" s="221">
        <f>634881240+2057868288</f>
        <v>2692749528</v>
      </c>
    </row>
    <row r="13" spans="1:21" s="21" customFormat="1" ht="60">
      <c r="A13" s="23">
        <v>10</v>
      </c>
      <c r="B13" s="466" t="s">
        <v>1246</v>
      </c>
      <c r="C13" s="466" t="s">
        <v>1942</v>
      </c>
      <c r="D13" s="878">
        <v>1780</v>
      </c>
      <c r="E13" s="23" t="s">
        <v>286</v>
      </c>
      <c r="F13" s="23"/>
      <c r="G13" s="876">
        <v>890</v>
      </c>
      <c r="H13" s="876">
        <v>296.66666666666669</v>
      </c>
      <c r="I13" s="876">
        <v>296.66666666666669</v>
      </c>
      <c r="J13" s="876">
        <v>296.66666666666669</v>
      </c>
      <c r="K13" s="877">
        <v>4506420.5999999996</v>
      </c>
      <c r="L13" s="222">
        <f t="shared" si="0"/>
        <v>8021428667.999999</v>
      </c>
      <c r="M13" s="489">
        <f t="shared" si="2"/>
        <v>4010714333.9999995</v>
      </c>
      <c r="N13" s="489">
        <f t="shared" si="3"/>
        <v>1336904778</v>
      </c>
      <c r="O13" s="489">
        <f t="shared" si="4"/>
        <v>1336904778</v>
      </c>
      <c r="P13" s="378">
        <f t="shared" si="5"/>
        <v>1336904778</v>
      </c>
      <c r="Q13" s="909" t="s">
        <v>4719</v>
      </c>
      <c r="R13" s="826" t="s">
        <v>4780</v>
      </c>
      <c r="S13" s="465">
        <f>150+730</f>
        <v>880</v>
      </c>
      <c r="T13" s="907">
        <f t="shared" si="1"/>
        <v>900</v>
      </c>
      <c r="U13" s="221">
        <f>634881240+3065803776</f>
        <v>3700685016</v>
      </c>
    </row>
    <row r="14" spans="1:21" s="21" customFormat="1" ht="60">
      <c r="A14" s="23">
        <v>11</v>
      </c>
      <c r="B14" s="466" t="s">
        <v>1246</v>
      </c>
      <c r="C14" s="466" t="s">
        <v>1941</v>
      </c>
      <c r="D14" s="878">
        <v>912</v>
      </c>
      <c r="E14" s="23" t="s">
        <v>286</v>
      </c>
      <c r="F14" s="23"/>
      <c r="G14" s="876">
        <v>456</v>
      </c>
      <c r="H14" s="876">
        <v>152</v>
      </c>
      <c r="I14" s="876">
        <v>152</v>
      </c>
      <c r="J14" s="876">
        <v>152</v>
      </c>
      <c r="K14" s="877">
        <v>4522573.4400000004</v>
      </c>
      <c r="L14" s="222">
        <f t="shared" si="0"/>
        <v>4124586977.2800002</v>
      </c>
      <c r="M14" s="489">
        <f t="shared" si="2"/>
        <v>2062293488.6400001</v>
      </c>
      <c r="N14" s="489">
        <f t="shared" si="3"/>
        <v>687431162.88000011</v>
      </c>
      <c r="O14" s="489">
        <f t="shared" si="4"/>
        <v>687431162.88000011</v>
      </c>
      <c r="P14" s="378">
        <f t="shared" si="5"/>
        <v>687431162.88000011</v>
      </c>
      <c r="Q14" s="909" t="s">
        <v>4719</v>
      </c>
      <c r="R14" s="826" t="s">
        <v>4781</v>
      </c>
      <c r="S14" s="465">
        <f>150+330</f>
        <v>480</v>
      </c>
      <c r="T14" s="907">
        <f t="shared" si="1"/>
        <v>432</v>
      </c>
      <c r="U14" s="221">
        <f>634881240+1385911296</f>
        <v>2020792536</v>
      </c>
    </row>
    <row r="15" spans="1:21" s="21" customFormat="1" ht="60">
      <c r="A15" s="23">
        <v>12</v>
      </c>
      <c r="B15" s="466" t="s">
        <v>1246</v>
      </c>
      <c r="C15" s="466" t="s">
        <v>1940</v>
      </c>
      <c r="D15" s="878">
        <v>302</v>
      </c>
      <c r="E15" s="23" t="s">
        <v>286</v>
      </c>
      <c r="F15" s="23"/>
      <c r="G15" s="876">
        <v>151</v>
      </c>
      <c r="H15" s="876">
        <v>50.333333333333336</v>
      </c>
      <c r="I15" s="876">
        <v>50.333333333333336</v>
      </c>
      <c r="J15" s="876">
        <v>50.333333333333336</v>
      </c>
      <c r="K15" s="877">
        <v>6082373</v>
      </c>
      <c r="L15" s="222">
        <f t="shared" si="0"/>
        <v>1836876646</v>
      </c>
      <c r="M15" s="489">
        <f t="shared" si="2"/>
        <v>918438323</v>
      </c>
      <c r="N15" s="489">
        <f t="shared" si="3"/>
        <v>306146107.66666669</v>
      </c>
      <c r="O15" s="489">
        <f t="shared" si="4"/>
        <v>306146107.66666669</v>
      </c>
      <c r="P15" s="378">
        <f t="shared" si="5"/>
        <v>306146107.66666669</v>
      </c>
      <c r="Q15" s="909" t="s">
        <v>4719</v>
      </c>
      <c r="R15" s="826" t="s">
        <v>4782</v>
      </c>
      <c r="S15" s="465">
        <f>150+450</f>
        <v>600</v>
      </c>
      <c r="T15" s="983">
        <f t="shared" si="1"/>
        <v>-298</v>
      </c>
      <c r="U15" s="221">
        <f>853335000+2540160000</f>
        <v>3393495000</v>
      </c>
    </row>
    <row r="16" spans="1:21" s="21" customFormat="1" ht="60">
      <c r="A16" s="23">
        <v>13</v>
      </c>
      <c r="B16" s="466" t="s">
        <v>1246</v>
      </c>
      <c r="C16" s="466" t="s">
        <v>1939</v>
      </c>
      <c r="D16" s="878">
        <v>400</v>
      </c>
      <c r="E16" s="23" t="s">
        <v>286</v>
      </c>
      <c r="F16" s="23"/>
      <c r="G16" s="876">
        <v>200</v>
      </c>
      <c r="H16" s="876">
        <v>66.666666666666671</v>
      </c>
      <c r="I16" s="876">
        <v>66.666666666666671</v>
      </c>
      <c r="J16" s="876">
        <v>66.666666666666671</v>
      </c>
      <c r="K16" s="877">
        <v>4328748.8600000003</v>
      </c>
      <c r="L16" s="222">
        <f t="shared" si="0"/>
        <v>1731499544.0000002</v>
      </c>
      <c r="M16" s="489">
        <f t="shared" si="2"/>
        <v>865749772.00000012</v>
      </c>
      <c r="N16" s="489">
        <f t="shared" si="3"/>
        <v>288583257.33333337</v>
      </c>
      <c r="O16" s="489">
        <f t="shared" si="4"/>
        <v>288583257.33333337</v>
      </c>
      <c r="P16" s="378">
        <f t="shared" si="5"/>
        <v>288583257.33333337</v>
      </c>
      <c r="Q16" s="909" t="s">
        <v>4719</v>
      </c>
      <c r="R16" s="826" t="s">
        <v>4783</v>
      </c>
      <c r="S16" s="465">
        <f>72+408</f>
        <v>480</v>
      </c>
      <c r="T16" s="983">
        <f t="shared" si="1"/>
        <v>-80</v>
      </c>
      <c r="U16" s="221">
        <f>304742995+1713490240</f>
        <v>2018233235</v>
      </c>
    </row>
    <row r="17" spans="1:21" s="21" customFormat="1">
      <c r="A17" s="23">
        <v>14</v>
      </c>
      <c r="B17" s="466" t="s">
        <v>1246</v>
      </c>
      <c r="C17" s="466" t="s">
        <v>1938</v>
      </c>
      <c r="D17" s="878">
        <v>10</v>
      </c>
      <c r="E17" s="23" t="s">
        <v>286</v>
      </c>
      <c r="F17" s="23"/>
      <c r="G17" s="23">
        <f>D17*40/100</f>
        <v>4</v>
      </c>
      <c r="H17" s="23">
        <f>D17*20/100</f>
        <v>2</v>
      </c>
      <c r="I17" s="23">
        <f>D17*20/100</f>
        <v>2</v>
      </c>
      <c r="J17" s="220">
        <f>D17*20/100</f>
        <v>2</v>
      </c>
      <c r="K17" s="877">
        <v>4882822.5599999996</v>
      </c>
      <c r="L17" s="222">
        <f t="shared" si="0"/>
        <v>48828225.599999994</v>
      </c>
      <c r="M17" s="489">
        <f t="shared" si="2"/>
        <v>19531290.239999998</v>
      </c>
      <c r="N17" s="489">
        <f t="shared" si="3"/>
        <v>9765645.1199999992</v>
      </c>
      <c r="O17" s="489">
        <f t="shared" si="4"/>
        <v>9765645.1199999992</v>
      </c>
      <c r="P17" s="378">
        <f t="shared" si="5"/>
        <v>9765645.1199999992</v>
      </c>
      <c r="Q17" s="909" t="s">
        <v>4719</v>
      </c>
      <c r="R17" s="465"/>
      <c r="S17" s="465"/>
      <c r="T17" s="907">
        <f t="shared" si="1"/>
        <v>10</v>
      </c>
      <c r="U17" s="221"/>
    </row>
    <row r="18" spans="1:21" s="21" customFormat="1" ht="30">
      <c r="A18" s="23">
        <v>15</v>
      </c>
      <c r="B18" s="466" t="s">
        <v>1246</v>
      </c>
      <c r="C18" s="466" t="s">
        <v>1937</v>
      </c>
      <c r="D18" s="878">
        <v>330</v>
      </c>
      <c r="E18" s="23" t="s">
        <v>286</v>
      </c>
      <c r="F18" s="23"/>
      <c r="G18" s="876">
        <v>165</v>
      </c>
      <c r="H18" s="876">
        <v>55</v>
      </c>
      <c r="I18" s="876">
        <v>55</v>
      </c>
      <c r="J18" s="876">
        <v>55</v>
      </c>
      <c r="K18" s="877">
        <v>6790630</v>
      </c>
      <c r="L18" s="222">
        <f t="shared" si="0"/>
        <v>2240907900</v>
      </c>
      <c r="M18" s="489">
        <f t="shared" si="2"/>
        <v>1120453950</v>
      </c>
      <c r="N18" s="489">
        <f t="shared" si="3"/>
        <v>373484650</v>
      </c>
      <c r="O18" s="489">
        <f t="shared" si="4"/>
        <v>373484650</v>
      </c>
      <c r="P18" s="378">
        <f t="shared" si="5"/>
        <v>373484650</v>
      </c>
      <c r="Q18" s="909" t="s">
        <v>4719</v>
      </c>
      <c r="R18" s="977" t="s">
        <v>4784</v>
      </c>
      <c r="S18" s="465">
        <v>80</v>
      </c>
      <c r="T18" s="907">
        <f t="shared" si="1"/>
        <v>250</v>
      </c>
      <c r="U18" s="221">
        <v>505774080</v>
      </c>
    </row>
    <row r="19" spans="1:21" s="21" customFormat="1" ht="30">
      <c r="A19" s="23">
        <v>16</v>
      </c>
      <c r="B19" s="466" t="s">
        <v>1246</v>
      </c>
      <c r="C19" s="466" t="s">
        <v>1936</v>
      </c>
      <c r="D19" s="878">
        <v>200</v>
      </c>
      <c r="E19" s="23" t="s">
        <v>286</v>
      </c>
      <c r="F19" s="23"/>
      <c r="G19" s="876">
        <v>100</v>
      </c>
      <c r="H19" s="876">
        <v>33.333333333333336</v>
      </c>
      <c r="I19" s="876">
        <v>33.333333333333336</v>
      </c>
      <c r="J19" s="876">
        <v>33.333333333333336</v>
      </c>
      <c r="K19" s="877">
        <v>6790630</v>
      </c>
      <c r="L19" s="222">
        <f t="shared" si="0"/>
        <v>1358126000</v>
      </c>
      <c r="M19" s="489">
        <f t="shared" si="2"/>
        <v>679063000</v>
      </c>
      <c r="N19" s="489">
        <f t="shared" si="3"/>
        <v>226354333.33333334</v>
      </c>
      <c r="O19" s="489">
        <f t="shared" si="4"/>
        <v>226354333.33333334</v>
      </c>
      <c r="P19" s="378">
        <f t="shared" si="5"/>
        <v>226354333.33333334</v>
      </c>
      <c r="Q19" s="909" t="s">
        <v>4719</v>
      </c>
      <c r="R19" s="977" t="s">
        <v>4785</v>
      </c>
      <c r="S19" s="465">
        <v>80</v>
      </c>
      <c r="T19" s="907">
        <f t="shared" si="1"/>
        <v>120</v>
      </c>
      <c r="U19" s="221">
        <v>505774080</v>
      </c>
    </row>
    <row r="20" spans="1:21" s="21" customFormat="1" ht="60">
      <c r="A20" s="23">
        <v>17</v>
      </c>
      <c r="B20" s="466" t="s">
        <v>1246</v>
      </c>
      <c r="C20" s="466" t="s">
        <v>1935</v>
      </c>
      <c r="D20" s="878">
        <v>56</v>
      </c>
      <c r="E20" s="23" t="s">
        <v>286</v>
      </c>
      <c r="F20" s="23"/>
      <c r="G20" s="876">
        <v>28</v>
      </c>
      <c r="H20" s="876">
        <v>9.3333333333333339</v>
      </c>
      <c r="I20" s="876">
        <v>9.3333333333333339</v>
      </c>
      <c r="J20" s="876">
        <v>9.3333333333333339</v>
      </c>
      <c r="K20" s="877">
        <v>6790630</v>
      </c>
      <c r="L20" s="222">
        <f t="shared" si="0"/>
        <v>380275280</v>
      </c>
      <c r="M20" s="489">
        <f t="shared" si="2"/>
        <v>190137640</v>
      </c>
      <c r="N20" s="489">
        <f>K20*H20</f>
        <v>63379213.333333336</v>
      </c>
      <c r="O20" s="489">
        <f t="shared" si="4"/>
        <v>63379213.333333336</v>
      </c>
      <c r="P20" s="378">
        <f t="shared" si="5"/>
        <v>63379213.333333336</v>
      </c>
      <c r="Q20" s="909" t="s">
        <v>4719</v>
      </c>
      <c r="R20" s="977" t="s">
        <v>4786</v>
      </c>
      <c r="S20" s="465">
        <f>56+34</f>
        <v>90</v>
      </c>
      <c r="T20" s="983">
        <f t="shared" si="1"/>
        <v>-34</v>
      </c>
      <c r="U20" s="221">
        <f>354041856+214953984</f>
        <v>568995840</v>
      </c>
    </row>
    <row r="21" spans="1:21" s="21" customFormat="1" ht="30">
      <c r="A21" s="23">
        <v>18</v>
      </c>
      <c r="B21" s="466" t="s">
        <v>1934</v>
      </c>
      <c r="C21" s="466" t="s">
        <v>1926</v>
      </c>
      <c r="D21" s="878">
        <v>278</v>
      </c>
      <c r="E21" s="23" t="s">
        <v>286</v>
      </c>
      <c r="F21" s="23"/>
      <c r="G21" s="876">
        <v>139</v>
      </c>
      <c r="H21" s="876">
        <v>46.333333333333336</v>
      </c>
      <c r="I21" s="876">
        <v>46.333333333333336</v>
      </c>
      <c r="J21" s="876">
        <v>46.333333333333336</v>
      </c>
      <c r="K21" s="877">
        <v>2448074</v>
      </c>
      <c r="L21" s="222">
        <f t="shared" si="0"/>
        <v>680564572</v>
      </c>
      <c r="M21" s="489">
        <f t="shared" si="2"/>
        <v>340282286</v>
      </c>
      <c r="N21" s="489">
        <f t="shared" ref="N21:N68" si="6">K21*H21</f>
        <v>113427428.66666667</v>
      </c>
      <c r="O21" s="489">
        <f t="shared" si="4"/>
        <v>113427428.66666667</v>
      </c>
      <c r="P21" s="378">
        <f t="shared" si="5"/>
        <v>113427428.66666667</v>
      </c>
      <c r="Q21" s="909" t="s">
        <v>4719</v>
      </c>
      <c r="R21" s="977" t="s">
        <v>4806</v>
      </c>
      <c r="S21" s="465">
        <v>70</v>
      </c>
      <c r="T21" s="907">
        <f t="shared" si="1"/>
        <v>208</v>
      </c>
      <c r="U21" s="221">
        <v>168000000</v>
      </c>
    </row>
    <row r="22" spans="1:21" s="21" customFormat="1" ht="90">
      <c r="A22" s="23">
        <v>19</v>
      </c>
      <c r="B22" s="466" t="s">
        <v>1933</v>
      </c>
      <c r="C22" s="466" t="s">
        <v>1926</v>
      </c>
      <c r="D22" s="878">
        <v>1091</v>
      </c>
      <c r="E22" s="23" t="s">
        <v>286</v>
      </c>
      <c r="F22" s="23"/>
      <c r="G22" s="876">
        <v>545.5</v>
      </c>
      <c r="H22" s="876">
        <v>181.83333333333334</v>
      </c>
      <c r="I22" s="876">
        <v>181.83333333333334</v>
      </c>
      <c r="J22" s="876">
        <v>181.83333333333334</v>
      </c>
      <c r="K22" s="877">
        <v>2626662.2000000002</v>
      </c>
      <c r="L22" s="222">
        <f t="shared" si="0"/>
        <v>2865688460.2000003</v>
      </c>
      <c r="M22" s="489">
        <f t="shared" si="2"/>
        <v>1432844230.1000001</v>
      </c>
      <c r="N22" s="489">
        <f t="shared" si="6"/>
        <v>477614743.36666673</v>
      </c>
      <c r="O22" s="489">
        <f t="shared" si="4"/>
        <v>477614743.36666673</v>
      </c>
      <c r="P22" s="378">
        <f t="shared" si="5"/>
        <v>477614743.36666673</v>
      </c>
      <c r="Q22" s="909" t="s">
        <v>4719</v>
      </c>
      <c r="R22" s="826" t="s">
        <v>4787</v>
      </c>
      <c r="S22" s="465">
        <f>85+86+295</f>
        <v>466</v>
      </c>
      <c r="T22" s="907">
        <f t="shared" si="1"/>
        <v>625</v>
      </c>
      <c r="U22" s="221">
        <f>208896340+211353944+724993180</f>
        <v>1145243464</v>
      </c>
    </row>
    <row r="23" spans="1:21" s="21" customFormat="1" ht="30">
      <c r="A23" s="23">
        <v>20</v>
      </c>
      <c r="B23" s="466" t="s">
        <v>1932</v>
      </c>
      <c r="C23" s="466" t="s">
        <v>1926</v>
      </c>
      <c r="D23" s="878">
        <v>50</v>
      </c>
      <c r="E23" s="23" t="s">
        <v>286</v>
      </c>
      <c r="F23" s="23"/>
      <c r="G23" s="876">
        <v>20</v>
      </c>
      <c r="H23" s="876">
        <v>10</v>
      </c>
      <c r="I23" s="876">
        <v>10</v>
      </c>
      <c r="J23" s="876">
        <v>10</v>
      </c>
      <c r="K23" s="877">
        <v>4139081.4</v>
      </c>
      <c r="L23" s="222">
        <f t="shared" si="0"/>
        <v>206954070</v>
      </c>
      <c r="M23" s="489">
        <f t="shared" si="2"/>
        <v>82781628</v>
      </c>
      <c r="N23" s="489">
        <f t="shared" si="6"/>
        <v>41390814</v>
      </c>
      <c r="O23" s="489">
        <f t="shared" si="4"/>
        <v>41390814</v>
      </c>
      <c r="P23" s="378">
        <f t="shared" si="5"/>
        <v>41390814</v>
      </c>
      <c r="Q23" s="909" t="s">
        <v>4719</v>
      </c>
      <c r="R23" s="826" t="s">
        <v>4800</v>
      </c>
      <c r="S23" s="465">
        <v>68</v>
      </c>
      <c r="T23" s="983">
        <f t="shared" si="1"/>
        <v>-18</v>
      </c>
      <c r="U23" s="221">
        <v>262072000</v>
      </c>
    </row>
    <row r="24" spans="1:21" s="21" customFormat="1" ht="60">
      <c r="A24" s="23">
        <v>21</v>
      </c>
      <c r="B24" s="879" t="s">
        <v>1931</v>
      </c>
      <c r="C24" s="879" t="s">
        <v>1927</v>
      </c>
      <c r="D24" s="880">
        <v>283</v>
      </c>
      <c r="E24" s="23" t="s">
        <v>286</v>
      </c>
      <c r="F24" s="23"/>
      <c r="G24" s="881">
        <v>141.5</v>
      </c>
      <c r="H24" s="881">
        <v>47.166666666666664</v>
      </c>
      <c r="I24" s="881">
        <v>47.166666666666664</v>
      </c>
      <c r="J24" s="881">
        <v>47.166666666666664</v>
      </c>
      <c r="K24" s="877">
        <v>2430933.12</v>
      </c>
      <c r="L24" s="222">
        <f t="shared" si="0"/>
        <v>687954072.96000004</v>
      </c>
      <c r="M24" s="489">
        <f t="shared" si="2"/>
        <v>343977036.48000002</v>
      </c>
      <c r="N24" s="489">
        <f t="shared" si="6"/>
        <v>114659012.16</v>
      </c>
      <c r="O24" s="489">
        <f t="shared" si="4"/>
        <v>114659012.16</v>
      </c>
      <c r="P24" s="378">
        <f t="shared" si="5"/>
        <v>114659012.16</v>
      </c>
      <c r="Q24" s="909" t="s">
        <v>4719</v>
      </c>
      <c r="R24" s="826" t="s">
        <v>4788</v>
      </c>
      <c r="S24" s="465">
        <f>35+85</f>
        <v>120</v>
      </c>
      <c r="T24" s="907">
        <f t="shared" si="1"/>
        <v>163</v>
      </c>
      <c r="U24" s="221">
        <f>79644000+191923200</f>
        <v>271567200</v>
      </c>
    </row>
    <row r="25" spans="1:21" s="21" customFormat="1" ht="60">
      <c r="A25" s="23">
        <v>22</v>
      </c>
      <c r="B25" s="466" t="s">
        <v>1930</v>
      </c>
      <c r="C25" s="466" t="s">
        <v>1927</v>
      </c>
      <c r="D25" s="882">
        <v>100</v>
      </c>
      <c r="E25" s="23" t="s">
        <v>286</v>
      </c>
      <c r="F25" s="23"/>
      <c r="G25" s="883">
        <v>50</v>
      </c>
      <c r="H25" s="883">
        <v>16.666666666666668</v>
      </c>
      <c r="I25" s="883">
        <v>16.666666666666668</v>
      </c>
      <c r="J25" s="883">
        <v>16.666666666666668</v>
      </c>
      <c r="K25" s="877">
        <v>3801600</v>
      </c>
      <c r="L25" s="222">
        <f t="shared" si="0"/>
        <v>380160000</v>
      </c>
      <c r="M25" s="489">
        <f t="shared" si="2"/>
        <v>190080000</v>
      </c>
      <c r="N25" s="489">
        <f t="shared" si="6"/>
        <v>63360000.000000007</v>
      </c>
      <c r="O25" s="489">
        <f t="shared" si="4"/>
        <v>63360000.000000007</v>
      </c>
      <c r="P25" s="378">
        <f t="shared" si="5"/>
        <v>63360000.000000007</v>
      </c>
      <c r="Q25" s="909" t="s">
        <v>4719</v>
      </c>
      <c r="R25" s="826" t="s">
        <v>4789</v>
      </c>
      <c r="S25" s="465">
        <f>30+10</f>
        <v>40</v>
      </c>
      <c r="T25" s="907">
        <f t="shared" si="1"/>
        <v>60</v>
      </c>
      <c r="U25" s="221">
        <f>111502440+36879000</f>
        <v>148381440</v>
      </c>
    </row>
    <row r="26" spans="1:21" s="21" customFormat="1" ht="30">
      <c r="A26" s="23">
        <v>23</v>
      </c>
      <c r="B26" s="466" t="s">
        <v>1929</v>
      </c>
      <c r="C26" s="466" t="s">
        <v>1927</v>
      </c>
      <c r="D26" s="882">
        <v>200</v>
      </c>
      <c r="E26" s="23" t="s">
        <v>286</v>
      </c>
      <c r="F26" s="23"/>
      <c r="G26" s="883">
        <v>100</v>
      </c>
      <c r="H26" s="883">
        <v>33.333333333333336</v>
      </c>
      <c r="I26" s="883">
        <v>33.333333333333336</v>
      </c>
      <c r="J26" s="883">
        <v>33.333333333333336</v>
      </c>
      <c r="K26" s="877">
        <v>3862365.6</v>
      </c>
      <c r="L26" s="222">
        <f t="shared" si="0"/>
        <v>772473120</v>
      </c>
      <c r="M26" s="489">
        <f t="shared" si="2"/>
        <v>386236560</v>
      </c>
      <c r="N26" s="489">
        <f t="shared" si="6"/>
        <v>128745520.00000001</v>
      </c>
      <c r="O26" s="489">
        <f t="shared" si="4"/>
        <v>128745520.00000001</v>
      </c>
      <c r="P26" s="378">
        <f t="shared" si="5"/>
        <v>128745520.00000001</v>
      </c>
      <c r="Q26" s="909" t="s">
        <v>4719</v>
      </c>
      <c r="R26" s="826" t="s">
        <v>4724</v>
      </c>
      <c r="S26" s="465">
        <v>20</v>
      </c>
      <c r="T26" s="907">
        <f t="shared" si="1"/>
        <v>180</v>
      </c>
      <c r="U26" s="221">
        <v>71388000</v>
      </c>
    </row>
    <row r="27" spans="1:21" s="21" customFormat="1" ht="30">
      <c r="A27" s="23">
        <v>24</v>
      </c>
      <c r="B27" s="466" t="s">
        <v>1928</v>
      </c>
      <c r="C27" s="466" t="s">
        <v>1927</v>
      </c>
      <c r="D27" s="882">
        <v>20</v>
      </c>
      <c r="E27" s="23" t="s">
        <v>286</v>
      </c>
      <c r="F27" s="23"/>
      <c r="G27" s="876">
        <v>10</v>
      </c>
      <c r="H27" s="876">
        <v>3.3333333333333335</v>
      </c>
      <c r="I27" s="876">
        <v>3.3333333333333335</v>
      </c>
      <c r="J27" s="876">
        <v>3.3333333333333335</v>
      </c>
      <c r="K27" s="877">
        <v>3910287.5</v>
      </c>
      <c r="L27" s="222">
        <f t="shared" si="0"/>
        <v>78205750</v>
      </c>
      <c r="M27" s="489">
        <f t="shared" si="2"/>
        <v>39102875</v>
      </c>
      <c r="N27" s="489">
        <f t="shared" si="6"/>
        <v>13034291.666666668</v>
      </c>
      <c r="O27" s="489">
        <f t="shared" si="4"/>
        <v>13034291.666666668</v>
      </c>
      <c r="P27" s="378">
        <f t="shared" si="5"/>
        <v>13034291.666666668</v>
      </c>
      <c r="Q27" s="909" t="s">
        <v>4719</v>
      </c>
      <c r="R27" s="826" t="s">
        <v>4725</v>
      </c>
      <c r="S27" s="465">
        <v>8</v>
      </c>
      <c r="T27" s="907">
        <f t="shared" si="1"/>
        <v>12</v>
      </c>
      <c r="U27" s="221">
        <v>24768064</v>
      </c>
    </row>
    <row r="28" spans="1:21" s="21" customFormat="1">
      <c r="A28" s="1188" t="s">
        <v>2994</v>
      </c>
      <c r="B28" s="1188"/>
      <c r="C28" s="1188"/>
      <c r="D28" s="1188"/>
      <c r="E28" s="1188"/>
      <c r="F28" s="1188"/>
      <c r="G28" s="1188"/>
      <c r="H28" s="1188"/>
      <c r="I28" s="1188"/>
      <c r="J28" s="1189"/>
      <c r="K28" s="877"/>
      <c r="L28" s="379">
        <f>SUM(L4:L27)</f>
        <v>39963632134.509995</v>
      </c>
      <c r="M28" s="379">
        <f>SUM(M4:M27)</f>
        <v>19952162689.694996</v>
      </c>
      <c r="N28" s="379">
        <f>SUM(N4:N27)</f>
        <v>6670489814.9383335</v>
      </c>
      <c r="O28" s="379">
        <f>SUM(O4:O27)</f>
        <v>6670489814.9383335</v>
      </c>
      <c r="P28" s="379">
        <f>SUM(P4:P27)</f>
        <v>6670489814.9383335</v>
      </c>
      <c r="Q28" s="873"/>
      <c r="R28" s="465"/>
      <c r="S28" s="465"/>
      <c r="T28" s="907"/>
      <c r="U28" s="221"/>
    </row>
    <row r="29" spans="1:21" s="21" customFormat="1">
      <c r="A29" s="1191" t="s">
        <v>1882</v>
      </c>
      <c r="B29" s="1192"/>
      <c r="C29" s="1192"/>
      <c r="D29" s="1192"/>
      <c r="E29" s="1192"/>
      <c r="F29" s="1192"/>
      <c r="G29" s="1192"/>
      <c r="H29" s="1192"/>
      <c r="I29" s="1192"/>
      <c r="J29" s="1192"/>
      <c r="K29" s="376"/>
      <c r="L29" s="380"/>
      <c r="M29" s="380"/>
      <c r="N29" s="380"/>
      <c r="O29" s="380"/>
      <c r="P29" s="380"/>
      <c r="Q29" s="873"/>
      <c r="R29" s="465"/>
      <c r="S29" s="465"/>
      <c r="T29" s="907"/>
      <c r="U29" s="221"/>
    </row>
    <row r="30" spans="1:21" s="21" customFormat="1" ht="30">
      <c r="A30" s="23">
        <v>25</v>
      </c>
      <c r="B30" s="23" t="s">
        <v>2887</v>
      </c>
      <c r="C30" s="23"/>
      <c r="D30" s="23">
        <v>100</v>
      </c>
      <c r="E30" s="23" t="s">
        <v>286</v>
      </c>
      <c r="F30" s="23"/>
      <c r="G30" s="23">
        <f>D30/100*20</f>
        <v>20</v>
      </c>
      <c r="H30" s="23">
        <f>D30/100*40</f>
        <v>40</v>
      </c>
      <c r="I30" s="23">
        <f>D30/100*35</f>
        <v>35</v>
      </c>
      <c r="J30" s="220">
        <f>D30/100*5</f>
        <v>5</v>
      </c>
      <c r="K30" s="877">
        <v>15904966</v>
      </c>
      <c r="L30" s="222">
        <f t="shared" ref="L30:L68" si="7">K30*D30</f>
        <v>1590496600</v>
      </c>
      <c r="M30" s="489">
        <f t="shared" si="2"/>
        <v>318099320</v>
      </c>
      <c r="N30" s="489">
        <f t="shared" si="6"/>
        <v>636198640</v>
      </c>
      <c r="O30" s="489">
        <f t="shared" si="4"/>
        <v>556673810</v>
      </c>
      <c r="P30" s="378">
        <f t="shared" si="5"/>
        <v>79524830</v>
      </c>
      <c r="Q30" s="984" t="s">
        <v>4742</v>
      </c>
      <c r="R30" s="977" t="s">
        <v>4790</v>
      </c>
      <c r="S30" s="465">
        <v>9</v>
      </c>
      <c r="T30" s="907">
        <f t="shared" si="1"/>
        <v>91</v>
      </c>
      <c r="U30" s="221">
        <v>108000000</v>
      </c>
    </row>
    <row r="31" spans="1:21" s="21" customFormat="1" ht="45">
      <c r="A31" s="23">
        <v>26</v>
      </c>
      <c r="B31" s="886" t="s">
        <v>1247</v>
      </c>
      <c r="C31" s="23"/>
      <c r="D31" s="23">
        <v>4000</v>
      </c>
      <c r="E31" s="23" t="s">
        <v>432</v>
      </c>
      <c r="F31" s="23"/>
      <c r="G31" s="23">
        <f>D31/100*20</f>
        <v>800</v>
      </c>
      <c r="H31" s="23">
        <f>D31/100*40</f>
        <v>1600</v>
      </c>
      <c r="I31" s="23">
        <f t="shared" ref="I31:I39" si="8">D31/100*35</f>
        <v>1400</v>
      </c>
      <c r="J31" s="220">
        <f t="shared" ref="J31:J39" si="9">D31/100*5</f>
        <v>200</v>
      </c>
      <c r="K31" s="877">
        <v>38410</v>
      </c>
      <c r="L31" s="222">
        <f t="shared" si="7"/>
        <v>153640000</v>
      </c>
      <c r="M31" s="489">
        <f t="shared" si="2"/>
        <v>30728000</v>
      </c>
      <c r="N31" s="489">
        <f t="shared" si="6"/>
        <v>61456000</v>
      </c>
      <c r="O31" s="489">
        <f t="shared" si="4"/>
        <v>53774000</v>
      </c>
      <c r="P31" s="378">
        <f t="shared" si="5"/>
        <v>7682000</v>
      </c>
      <c r="Q31" s="908" t="s">
        <v>4236</v>
      </c>
      <c r="R31" s="977" t="s">
        <v>4791</v>
      </c>
      <c r="S31" s="465">
        <f>800+2000</f>
        <v>2800</v>
      </c>
      <c r="T31" s="907">
        <f t="shared" si="1"/>
        <v>1200</v>
      </c>
      <c r="U31" s="221">
        <f>14119200+29664000</f>
        <v>43783200</v>
      </c>
    </row>
    <row r="32" spans="1:21" s="21" customFormat="1" ht="30">
      <c r="A32" s="23">
        <v>27</v>
      </c>
      <c r="B32" s="886" t="s">
        <v>1248</v>
      </c>
      <c r="C32" s="23"/>
      <c r="D32" s="23">
        <v>300</v>
      </c>
      <c r="E32" s="23" t="s">
        <v>286</v>
      </c>
      <c r="F32" s="23"/>
      <c r="G32" s="23">
        <f t="shared" ref="G32:G39" si="10">D32/100*20</f>
        <v>60</v>
      </c>
      <c r="H32" s="23">
        <f t="shared" ref="H32:H39" si="11">D32/100*40</f>
        <v>120</v>
      </c>
      <c r="I32" s="23">
        <f t="shared" si="8"/>
        <v>105</v>
      </c>
      <c r="J32" s="220">
        <f t="shared" si="9"/>
        <v>15</v>
      </c>
      <c r="K32" s="877">
        <v>10769330</v>
      </c>
      <c r="L32" s="222">
        <f t="shared" si="7"/>
        <v>3230799000</v>
      </c>
      <c r="M32" s="489">
        <f t="shared" si="2"/>
        <v>646159800</v>
      </c>
      <c r="N32" s="489">
        <f t="shared" si="6"/>
        <v>1292319600</v>
      </c>
      <c r="O32" s="489">
        <f t="shared" si="4"/>
        <v>1130779650</v>
      </c>
      <c r="P32" s="378">
        <f t="shared" si="5"/>
        <v>161539950</v>
      </c>
      <c r="Q32" s="980" t="s">
        <v>4761</v>
      </c>
      <c r="R32" s="465" t="s">
        <v>4760</v>
      </c>
      <c r="S32" s="465">
        <v>300</v>
      </c>
      <c r="T32" s="907">
        <f t="shared" si="1"/>
        <v>0</v>
      </c>
      <c r="U32" s="221">
        <v>2329118736</v>
      </c>
    </row>
    <row r="33" spans="1:21" s="21" customFormat="1" ht="30">
      <c r="A33" s="23">
        <v>28</v>
      </c>
      <c r="B33" s="886" t="s">
        <v>2888</v>
      </c>
      <c r="C33" s="23"/>
      <c r="D33" s="23">
        <v>6</v>
      </c>
      <c r="E33" s="23" t="s">
        <v>286</v>
      </c>
      <c r="F33" s="23"/>
      <c r="G33" s="23">
        <v>4</v>
      </c>
      <c r="H33" s="23">
        <v>2</v>
      </c>
      <c r="I33" s="23">
        <v>0</v>
      </c>
      <c r="J33" s="220">
        <v>0</v>
      </c>
      <c r="K33" s="877">
        <v>12300000</v>
      </c>
      <c r="L33" s="222">
        <f t="shared" si="7"/>
        <v>73800000</v>
      </c>
      <c r="M33" s="489">
        <f t="shared" si="2"/>
        <v>49200000</v>
      </c>
      <c r="N33" s="489">
        <f t="shared" si="6"/>
        <v>24600000</v>
      </c>
      <c r="O33" s="489">
        <f t="shared" si="4"/>
        <v>0</v>
      </c>
      <c r="P33" s="378">
        <f t="shared" si="5"/>
        <v>0</v>
      </c>
      <c r="Q33" s="980" t="s">
        <v>4761</v>
      </c>
      <c r="R33" s="465" t="s">
        <v>4760</v>
      </c>
      <c r="S33" s="465">
        <v>6</v>
      </c>
      <c r="T33" s="907">
        <f t="shared" si="1"/>
        <v>0</v>
      </c>
      <c r="U33" s="221">
        <v>111135595.2</v>
      </c>
    </row>
    <row r="34" spans="1:21" s="21" customFormat="1" ht="45">
      <c r="A34" s="23">
        <v>29</v>
      </c>
      <c r="B34" s="886" t="s">
        <v>1249</v>
      </c>
      <c r="C34" s="23"/>
      <c r="D34" s="23">
        <v>1000</v>
      </c>
      <c r="E34" s="23" t="s">
        <v>432</v>
      </c>
      <c r="F34" s="23"/>
      <c r="G34" s="23">
        <f t="shared" si="10"/>
        <v>200</v>
      </c>
      <c r="H34" s="23">
        <f t="shared" si="11"/>
        <v>400</v>
      </c>
      <c r="I34" s="23">
        <f t="shared" si="8"/>
        <v>350</v>
      </c>
      <c r="J34" s="220">
        <f t="shared" si="9"/>
        <v>50</v>
      </c>
      <c r="K34" s="877">
        <v>85100</v>
      </c>
      <c r="L34" s="222">
        <f t="shared" si="7"/>
        <v>85100000</v>
      </c>
      <c r="M34" s="489">
        <f t="shared" si="2"/>
        <v>17020000</v>
      </c>
      <c r="N34" s="489">
        <f t="shared" si="6"/>
        <v>34040000</v>
      </c>
      <c r="O34" s="489">
        <f t="shared" si="4"/>
        <v>29785000</v>
      </c>
      <c r="P34" s="378">
        <f t="shared" si="5"/>
        <v>4255000</v>
      </c>
      <c r="Q34" s="908" t="s">
        <v>4236</v>
      </c>
      <c r="R34" s="465" t="s">
        <v>4726</v>
      </c>
      <c r="S34" s="465">
        <v>200</v>
      </c>
      <c r="T34" s="907">
        <f t="shared" si="1"/>
        <v>800</v>
      </c>
      <c r="U34" s="221">
        <v>8994996</v>
      </c>
    </row>
    <row r="35" spans="1:21" s="21" customFormat="1" ht="45">
      <c r="A35" s="23">
        <v>30</v>
      </c>
      <c r="B35" s="886" t="s">
        <v>1250</v>
      </c>
      <c r="C35" s="23"/>
      <c r="D35" s="23">
        <v>500</v>
      </c>
      <c r="E35" s="23" t="s">
        <v>432</v>
      </c>
      <c r="F35" s="23"/>
      <c r="G35" s="23">
        <f t="shared" si="10"/>
        <v>100</v>
      </c>
      <c r="H35" s="23">
        <f t="shared" si="11"/>
        <v>200</v>
      </c>
      <c r="I35" s="23">
        <f t="shared" si="8"/>
        <v>175</v>
      </c>
      <c r="J35" s="220">
        <f t="shared" si="9"/>
        <v>25</v>
      </c>
      <c r="K35" s="877">
        <v>80454</v>
      </c>
      <c r="L35" s="222">
        <f t="shared" si="7"/>
        <v>40227000</v>
      </c>
      <c r="M35" s="489">
        <f t="shared" si="2"/>
        <v>8045400</v>
      </c>
      <c r="N35" s="489">
        <f t="shared" si="6"/>
        <v>16090800</v>
      </c>
      <c r="O35" s="489">
        <f t="shared" si="4"/>
        <v>14079450</v>
      </c>
      <c r="P35" s="378">
        <f t="shared" si="5"/>
        <v>2011350</v>
      </c>
      <c r="Q35" s="908" t="s">
        <v>4236</v>
      </c>
      <c r="R35" s="465" t="s">
        <v>4726</v>
      </c>
      <c r="S35" s="465">
        <v>100</v>
      </c>
      <c r="T35" s="907">
        <f t="shared" si="1"/>
        <v>400</v>
      </c>
      <c r="U35" s="221">
        <v>4098934</v>
      </c>
    </row>
    <row r="36" spans="1:21" s="21" customFormat="1" ht="45">
      <c r="A36" s="23">
        <v>31</v>
      </c>
      <c r="B36" s="886" t="s">
        <v>2889</v>
      </c>
      <c r="C36" s="23"/>
      <c r="D36" s="23">
        <v>120</v>
      </c>
      <c r="E36" s="23" t="s">
        <v>286</v>
      </c>
      <c r="F36" s="23"/>
      <c r="G36" s="23">
        <f t="shared" si="10"/>
        <v>24</v>
      </c>
      <c r="H36" s="23">
        <f t="shared" si="11"/>
        <v>48</v>
      </c>
      <c r="I36" s="23">
        <f t="shared" si="8"/>
        <v>42</v>
      </c>
      <c r="J36" s="220">
        <f t="shared" si="9"/>
        <v>6</v>
      </c>
      <c r="K36" s="877">
        <v>3023258</v>
      </c>
      <c r="L36" s="222">
        <f t="shared" si="7"/>
        <v>362790960</v>
      </c>
      <c r="M36" s="489">
        <f t="shared" si="2"/>
        <v>72558192</v>
      </c>
      <c r="N36" s="489">
        <f t="shared" si="6"/>
        <v>145116384</v>
      </c>
      <c r="O36" s="489">
        <f t="shared" si="4"/>
        <v>126976836</v>
      </c>
      <c r="P36" s="378">
        <f t="shared" si="5"/>
        <v>18139548</v>
      </c>
      <c r="Q36" s="908" t="s">
        <v>4236</v>
      </c>
      <c r="R36" s="465"/>
      <c r="S36" s="465"/>
      <c r="T36" s="907">
        <f t="shared" si="1"/>
        <v>120</v>
      </c>
      <c r="U36" s="221"/>
    </row>
    <row r="37" spans="1:21" s="21" customFormat="1" ht="45">
      <c r="A37" s="23">
        <v>32</v>
      </c>
      <c r="B37" s="886" t="s">
        <v>2890</v>
      </c>
      <c r="C37" s="23"/>
      <c r="D37" s="23">
        <v>36</v>
      </c>
      <c r="E37" s="23" t="s">
        <v>286</v>
      </c>
      <c r="F37" s="23"/>
      <c r="G37" s="23">
        <v>8</v>
      </c>
      <c r="H37" s="23">
        <v>14</v>
      </c>
      <c r="I37" s="23">
        <v>12</v>
      </c>
      <c r="J37" s="220">
        <v>2</v>
      </c>
      <c r="K37" s="877">
        <v>11550000</v>
      </c>
      <c r="L37" s="222">
        <f t="shared" si="7"/>
        <v>415800000</v>
      </c>
      <c r="M37" s="489">
        <f t="shared" si="2"/>
        <v>92400000</v>
      </c>
      <c r="N37" s="489">
        <f t="shared" si="6"/>
        <v>161700000</v>
      </c>
      <c r="O37" s="489">
        <f t="shared" si="4"/>
        <v>138600000</v>
      </c>
      <c r="P37" s="378">
        <f t="shared" si="5"/>
        <v>23100000</v>
      </c>
      <c r="Q37" s="908" t="s">
        <v>4236</v>
      </c>
      <c r="R37" s="465" t="s">
        <v>4760</v>
      </c>
      <c r="S37" s="465">
        <v>36</v>
      </c>
      <c r="T37" s="907">
        <f t="shared" si="1"/>
        <v>0</v>
      </c>
      <c r="U37" s="221">
        <v>567501096.96000004</v>
      </c>
    </row>
    <row r="38" spans="1:21" s="21" customFormat="1" ht="45">
      <c r="A38" s="23">
        <v>33</v>
      </c>
      <c r="B38" s="886" t="s">
        <v>2891</v>
      </c>
      <c r="C38" s="23"/>
      <c r="D38" s="23">
        <v>12</v>
      </c>
      <c r="E38" s="23" t="s">
        <v>286</v>
      </c>
      <c r="F38" s="23"/>
      <c r="G38" s="23">
        <v>4</v>
      </c>
      <c r="H38" s="23">
        <v>4</v>
      </c>
      <c r="I38" s="23">
        <v>4</v>
      </c>
      <c r="J38" s="220">
        <v>0</v>
      </c>
      <c r="K38" s="877">
        <v>13650000</v>
      </c>
      <c r="L38" s="222">
        <f t="shared" si="7"/>
        <v>163800000</v>
      </c>
      <c r="M38" s="489">
        <f t="shared" si="2"/>
        <v>54600000</v>
      </c>
      <c r="N38" s="489">
        <f t="shared" si="6"/>
        <v>54600000</v>
      </c>
      <c r="O38" s="489">
        <f t="shared" si="4"/>
        <v>54600000</v>
      </c>
      <c r="P38" s="378">
        <f t="shared" si="5"/>
        <v>0</v>
      </c>
      <c r="Q38" s="908" t="s">
        <v>4236</v>
      </c>
      <c r="R38" s="465"/>
      <c r="S38" s="465"/>
      <c r="T38" s="907">
        <f t="shared" si="1"/>
        <v>12</v>
      </c>
      <c r="U38" s="221"/>
    </row>
    <row r="39" spans="1:21" s="21" customFormat="1" ht="45">
      <c r="A39" s="23">
        <v>34</v>
      </c>
      <c r="B39" s="23" t="s">
        <v>2850</v>
      </c>
      <c r="C39" s="23"/>
      <c r="D39" s="23">
        <v>600</v>
      </c>
      <c r="E39" s="23" t="s">
        <v>432</v>
      </c>
      <c r="F39" s="23"/>
      <c r="G39" s="23">
        <f t="shared" si="10"/>
        <v>120</v>
      </c>
      <c r="H39" s="23">
        <f t="shared" si="11"/>
        <v>240</v>
      </c>
      <c r="I39" s="23">
        <f t="shared" si="8"/>
        <v>210</v>
      </c>
      <c r="J39" s="220">
        <f t="shared" si="9"/>
        <v>30</v>
      </c>
      <c r="K39" s="877">
        <v>79580</v>
      </c>
      <c r="L39" s="222">
        <f t="shared" si="7"/>
        <v>47748000</v>
      </c>
      <c r="M39" s="489">
        <f t="shared" si="2"/>
        <v>9549600</v>
      </c>
      <c r="N39" s="489">
        <f t="shared" si="6"/>
        <v>19099200</v>
      </c>
      <c r="O39" s="489">
        <f t="shared" si="4"/>
        <v>16711800</v>
      </c>
      <c r="P39" s="378">
        <f t="shared" si="5"/>
        <v>2387400</v>
      </c>
      <c r="Q39" s="908" t="s">
        <v>4236</v>
      </c>
      <c r="R39" s="465" t="s">
        <v>4726</v>
      </c>
      <c r="S39" s="465">
        <v>120</v>
      </c>
      <c r="T39" s="907">
        <f t="shared" si="1"/>
        <v>480</v>
      </c>
      <c r="U39" s="221">
        <v>4137458</v>
      </c>
    </row>
    <row r="40" spans="1:21" s="21" customFormat="1">
      <c r="A40" s="168"/>
      <c r="B40" s="1188" t="s">
        <v>2994</v>
      </c>
      <c r="C40" s="1188"/>
      <c r="D40" s="1188"/>
      <c r="E40" s="1188"/>
      <c r="F40" s="1188"/>
      <c r="G40" s="1188"/>
      <c r="H40" s="1188"/>
      <c r="I40" s="1188"/>
      <c r="J40" s="1189"/>
      <c r="K40" s="877"/>
      <c r="L40" s="379">
        <f>SUM(L30:L39)</f>
        <v>6164201560</v>
      </c>
      <c r="M40" s="379">
        <f>SUM(M30:M39)</f>
        <v>1298360312</v>
      </c>
      <c r="N40" s="379">
        <f>SUM(N30:N39)</f>
        <v>2445220624</v>
      </c>
      <c r="O40" s="379">
        <f>SUM(O30:O39)</f>
        <v>2121980546</v>
      </c>
      <c r="P40" s="379">
        <f>SUM(P30:P39)</f>
        <v>298640078</v>
      </c>
      <c r="Q40" s="873"/>
      <c r="R40" s="465"/>
      <c r="S40" s="465"/>
      <c r="T40" s="907"/>
      <c r="U40" s="221"/>
    </row>
    <row r="41" spans="1:21" s="21" customFormat="1">
      <c r="A41" s="1190" t="s">
        <v>1251</v>
      </c>
      <c r="B41" s="1187"/>
      <c r="C41" s="1187"/>
      <c r="D41" s="1187"/>
      <c r="E41" s="1187"/>
      <c r="F41" s="1187"/>
      <c r="G41" s="1187"/>
      <c r="H41" s="1187"/>
      <c r="I41" s="1187"/>
      <c r="J41" s="1187"/>
      <c r="K41" s="376"/>
      <c r="L41" s="380"/>
      <c r="M41" s="380"/>
      <c r="N41" s="380"/>
      <c r="O41" s="380"/>
      <c r="P41" s="380"/>
      <c r="Q41" s="873"/>
      <c r="R41" s="465"/>
      <c r="S41" s="465"/>
      <c r="T41" s="907"/>
      <c r="U41" s="221"/>
    </row>
    <row r="42" spans="1:21" s="21" customFormat="1">
      <c r="A42" s="23">
        <v>32</v>
      </c>
      <c r="B42" s="23" t="s">
        <v>1252</v>
      </c>
      <c r="C42" s="23" t="s">
        <v>1253</v>
      </c>
      <c r="D42" s="23">
        <v>80</v>
      </c>
      <c r="E42" s="23" t="s">
        <v>286</v>
      </c>
      <c r="F42" s="23"/>
      <c r="G42" s="23">
        <v>16</v>
      </c>
      <c r="H42" s="23">
        <v>30</v>
      </c>
      <c r="I42" s="23">
        <v>20</v>
      </c>
      <c r="J42" s="220">
        <v>14</v>
      </c>
      <c r="K42" s="221">
        <v>1345200</v>
      </c>
      <c r="L42" s="222">
        <f t="shared" si="7"/>
        <v>107616000</v>
      </c>
      <c r="M42" s="489">
        <f t="shared" si="2"/>
        <v>21523200</v>
      </c>
      <c r="N42" s="489">
        <f t="shared" si="6"/>
        <v>40356000</v>
      </c>
      <c r="O42" s="489">
        <f t="shared" si="4"/>
        <v>26904000</v>
      </c>
      <c r="P42" s="378">
        <f t="shared" si="5"/>
        <v>18832800</v>
      </c>
      <c r="Q42" s="891" t="s">
        <v>4227</v>
      </c>
      <c r="R42" s="465"/>
      <c r="S42" s="465"/>
      <c r="T42" s="907">
        <f t="shared" si="1"/>
        <v>80</v>
      </c>
      <c r="U42" s="221"/>
    </row>
    <row r="43" spans="1:21" s="21" customFormat="1">
      <c r="A43" s="23">
        <v>33</v>
      </c>
      <c r="B43" s="23" t="s">
        <v>1254</v>
      </c>
      <c r="C43" s="23" t="s">
        <v>1255</v>
      </c>
      <c r="D43" s="23">
        <v>320</v>
      </c>
      <c r="E43" s="23" t="s">
        <v>286</v>
      </c>
      <c r="F43" s="23"/>
      <c r="G43" s="23">
        <v>64</v>
      </c>
      <c r="H43" s="23">
        <v>96</v>
      </c>
      <c r="I43" s="23">
        <v>96</v>
      </c>
      <c r="J43" s="220">
        <v>64</v>
      </c>
      <c r="K43" s="221">
        <v>7116200</v>
      </c>
      <c r="L43" s="222">
        <f t="shared" si="7"/>
        <v>2277184000</v>
      </c>
      <c r="M43" s="489">
        <f t="shared" si="2"/>
        <v>455436800</v>
      </c>
      <c r="N43" s="489">
        <f t="shared" si="6"/>
        <v>683155200</v>
      </c>
      <c r="O43" s="489">
        <f t="shared" si="4"/>
        <v>683155200</v>
      </c>
      <c r="P43" s="378">
        <f t="shared" si="5"/>
        <v>455436800</v>
      </c>
      <c r="Q43" s="891" t="s">
        <v>4227</v>
      </c>
      <c r="R43" s="465"/>
      <c r="S43" s="465"/>
      <c r="T43" s="907">
        <f t="shared" si="1"/>
        <v>320</v>
      </c>
      <c r="U43" s="221"/>
    </row>
    <row r="44" spans="1:21" s="21" customFormat="1" ht="45">
      <c r="A44" s="23">
        <v>34</v>
      </c>
      <c r="B44" s="23" t="s">
        <v>1256</v>
      </c>
      <c r="C44" s="23" t="s">
        <v>1257</v>
      </c>
      <c r="D44" s="23">
        <v>15</v>
      </c>
      <c r="E44" s="23" t="s">
        <v>414</v>
      </c>
      <c r="F44" s="23"/>
      <c r="G44" s="23">
        <v>3</v>
      </c>
      <c r="H44" s="23">
        <v>6</v>
      </c>
      <c r="I44" s="23">
        <f>D44*20/100</f>
        <v>3</v>
      </c>
      <c r="J44" s="220">
        <f>D44*20/100</f>
        <v>3</v>
      </c>
      <c r="K44" s="221">
        <v>65500000</v>
      </c>
      <c r="L44" s="222">
        <f t="shared" si="7"/>
        <v>982500000</v>
      </c>
      <c r="M44" s="489">
        <f t="shared" si="2"/>
        <v>196500000</v>
      </c>
      <c r="N44" s="489">
        <f t="shared" si="6"/>
        <v>393000000</v>
      </c>
      <c r="O44" s="489">
        <f t="shared" si="4"/>
        <v>196500000</v>
      </c>
      <c r="P44" s="378">
        <f t="shared" si="5"/>
        <v>196500000</v>
      </c>
      <c r="Q44" s="908" t="s">
        <v>4236</v>
      </c>
      <c r="R44" s="465"/>
      <c r="S44" s="465"/>
      <c r="T44" s="907">
        <f t="shared" si="1"/>
        <v>15</v>
      </c>
      <c r="U44" s="221"/>
    </row>
    <row r="45" spans="1:21" s="20" customFormat="1" ht="45">
      <c r="A45" s="23">
        <v>35</v>
      </c>
      <c r="B45" s="23" t="s">
        <v>1258</v>
      </c>
      <c r="C45" s="23" t="s">
        <v>1257</v>
      </c>
      <c r="D45" s="23">
        <v>20</v>
      </c>
      <c r="E45" s="23" t="s">
        <v>414</v>
      </c>
      <c r="F45" s="23"/>
      <c r="G45" s="23">
        <v>4</v>
      </c>
      <c r="H45" s="23">
        <v>8</v>
      </c>
      <c r="I45" s="23">
        <f>D45*20/100</f>
        <v>4</v>
      </c>
      <c r="J45" s="220">
        <f>D45*20/100</f>
        <v>4</v>
      </c>
      <c r="K45" s="221">
        <v>71148000</v>
      </c>
      <c r="L45" s="222">
        <f t="shared" si="7"/>
        <v>1422960000</v>
      </c>
      <c r="M45" s="489">
        <f t="shared" si="2"/>
        <v>284592000</v>
      </c>
      <c r="N45" s="489">
        <f t="shared" si="6"/>
        <v>569184000</v>
      </c>
      <c r="O45" s="489">
        <f t="shared" si="4"/>
        <v>284592000</v>
      </c>
      <c r="P45" s="378">
        <f t="shared" si="5"/>
        <v>284592000</v>
      </c>
      <c r="Q45" s="908" t="s">
        <v>4236</v>
      </c>
      <c r="R45" s="464"/>
      <c r="S45" s="464"/>
      <c r="T45" s="907">
        <f t="shared" si="1"/>
        <v>20</v>
      </c>
      <c r="U45" s="382"/>
    </row>
    <row r="46" spans="1:21" s="21" customFormat="1">
      <c r="A46" s="168"/>
      <c r="B46" s="1188" t="s">
        <v>2994</v>
      </c>
      <c r="C46" s="1188"/>
      <c r="D46" s="1188"/>
      <c r="E46" s="1188"/>
      <c r="F46" s="1188"/>
      <c r="G46" s="1188"/>
      <c r="H46" s="1188"/>
      <c r="I46" s="1188"/>
      <c r="J46" s="1189"/>
      <c r="K46" s="221"/>
      <c r="L46" s="379">
        <f>SUM(L42:L45)</f>
        <v>4790260000</v>
      </c>
      <c r="M46" s="379">
        <f>SUM(M42:M45)</f>
        <v>958052000</v>
      </c>
      <c r="N46" s="379">
        <f>SUM(N42:N45)</f>
        <v>1685695200</v>
      </c>
      <c r="O46" s="379">
        <f>SUM(O42:O45)</f>
        <v>1191151200</v>
      </c>
      <c r="P46" s="379">
        <f>SUM(P42:P45)</f>
        <v>955361600</v>
      </c>
      <c r="Q46" s="873"/>
      <c r="R46" s="465"/>
      <c r="S46" s="465"/>
      <c r="T46" s="907">
        <f t="shared" si="1"/>
        <v>0</v>
      </c>
      <c r="U46" s="221"/>
    </row>
    <row r="47" spans="1:21" s="21" customFormat="1">
      <c r="A47" s="1190" t="s">
        <v>1259</v>
      </c>
      <c r="B47" s="1187"/>
      <c r="C47" s="1187"/>
      <c r="D47" s="1187"/>
      <c r="E47" s="1187"/>
      <c r="F47" s="1187"/>
      <c r="G47" s="1187"/>
      <c r="H47" s="1187"/>
      <c r="I47" s="1187"/>
      <c r="J47" s="1187"/>
      <c r="K47" s="376"/>
      <c r="L47" s="381"/>
      <c r="M47" s="381"/>
      <c r="N47" s="381"/>
      <c r="O47" s="381"/>
      <c r="P47" s="381"/>
      <c r="Q47" s="873"/>
      <c r="R47" s="465"/>
      <c r="S47" s="465"/>
      <c r="T47" s="907">
        <f t="shared" si="1"/>
        <v>0</v>
      </c>
      <c r="U47" s="221"/>
    </row>
    <row r="48" spans="1:21" s="21" customFormat="1" ht="30">
      <c r="A48" s="23">
        <v>36</v>
      </c>
      <c r="B48" s="23" t="s">
        <v>1260</v>
      </c>
      <c r="C48" s="23" t="s">
        <v>1261</v>
      </c>
      <c r="D48" s="420">
        <v>100</v>
      </c>
      <c r="E48" s="23" t="s">
        <v>414</v>
      </c>
      <c r="F48" s="23"/>
      <c r="G48" s="23">
        <v>15</v>
      </c>
      <c r="H48" s="23">
        <v>35</v>
      </c>
      <c r="I48" s="23">
        <v>35</v>
      </c>
      <c r="J48" s="220">
        <v>15</v>
      </c>
      <c r="K48" s="382">
        <v>60615000</v>
      </c>
      <c r="L48" s="222">
        <f t="shared" si="7"/>
        <v>6061500000</v>
      </c>
      <c r="M48" s="489">
        <f t="shared" si="2"/>
        <v>909225000</v>
      </c>
      <c r="N48" s="489">
        <f t="shared" si="6"/>
        <v>2121525000</v>
      </c>
      <c r="O48" s="489">
        <f t="shared" si="4"/>
        <v>2121525000</v>
      </c>
      <c r="P48" s="378">
        <f t="shared" si="5"/>
        <v>909225000</v>
      </c>
      <c r="Q48" s="909" t="s">
        <v>4719</v>
      </c>
      <c r="R48" s="826" t="s">
        <v>4727</v>
      </c>
      <c r="S48" s="465">
        <v>30.1</v>
      </c>
      <c r="T48" s="907">
        <f t="shared" si="1"/>
        <v>69.900000000000006</v>
      </c>
      <c r="U48" s="221">
        <v>1475231100</v>
      </c>
    </row>
    <row r="49" spans="1:21" s="21" customFormat="1" ht="30">
      <c r="A49" s="23">
        <v>37</v>
      </c>
      <c r="B49" s="23" t="s">
        <v>1262</v>
      </c>
      <c r="C49" s="23" t="s">
        <v>1261</v>
      </c>
      <c r="D49" s="23">
        <v>50</v>
      </c>
      <c r="E49" s="23" t="s">
        <v>414</v>
      </c>
      <c r="F49" s="23"/>
      <c r="G49" s="23">
        <f>D49/100*20</f>
        <v>10</v>
      </c>
      <c r="H49" s="23">
        <f>D49/100*40</f>
        <v>20</v>
      </c>
      <c r="I49" s="23">
        <f>D49/100*35</f>
        <v>17.5</v>
      </c>
      <c r="J49" s="220">
        <f>D49/100*5</f>
        <v>2.5</v>
      </c>
      <c r="K49" s="382">
        <v>12371000</v>
      </c>
      <c r="L49" s="222">
        <f t="shared" si="7"/>
        <v>618550000</v>
      </c>
      <c r="M49" s="489">
        <f t="shared" si="2"/>
        <v>123710000</v>
      </c>
      <c r="N49" s="489">
        <f t="shared" si="6"/>
        <v>247420000</v>
      </c>
      <c r="O49" s="489">
        <f t="shared" si="4"/>
        <v>216492500</v>
      </c>
      <c r="P49" s="378">
        <f t="shared" si="5"/>
        <v>30927500</v>
      </c>
      <c r="Q49" s="888" t="s">
        <v>4237</v>
      </c>
      <c r="R49" s="826" t="s">
        <v>4728</v>
      </c>
      <c r="S49" s="465">
        <v>10.026</v>
      </c>
      <c r="T49" s="907">
        <f t="shared" si="1"/>
        <v>39.974000000000004</v>
      </c>
      <c r="U49" s="221">
        <v>108271548</v>
      </c>
    </row>
    <row r="50" spans="1:21" s="20" customFormat="1" ht="30">
      <c r="A50" s="23">
        <v>38</v>
      </c>
      <c r="B50" s="23" t="s">
        <v>1263</v>
      </c>
      <c r="C50" s="23" t="s">
        <v>1261</v>
      </c>
      <c r="D50" s="23">
        <v>30</v>
      </c>
      <c r="E50" s="23" t="s">
        <v>414</v>
      </c>
      <c r="F50" s="23"/>
      <c r="G50" s="23">
        <f>D50/100*20</f>
        <v>6</v>
      </c>
      <c r="H50" s="23">
        <f>D50/100*40</f>
        <v>12</v>
      </c>
      <c r="I50" s="23">
        <v>10</v>
      </c>
      <c r="J50" s="220">
        <v>2</v>
      </c>
      <c r="K50" s="382">
        <v>53810000</v>
      </c>
      <c r="L50" s="222">
        <f t="shared" si="7"/>
        <v>1614300000</v>
      </c>
      <c r="M50" s="489">
        <f t="shared" si="2"/>
        <v>322860000</v>
      </c>
      <c r="N50" s="489">
        <f t="shared" si="6"/>
        <v>645720000</v>
      </c>
      <c r="O50" s="489">
        <f t="shared" si="4"/>
        <v>538100000</v>
      </c>
      <c r="P50" s="378">
        <f t="shared" si="5"/>
        <v>107620000</v>
      </c>
      <c r="Q50" s="909" t="s">
        <v>4719</v>
      </c>
      <c r="R50" s="463" t="s">
        <v>4729</v>
      </c>
      <c r="S50" s="464">
        <v>10.34</v>
      </c>
      <c r="T50" s="907">
        <f t="shared" si="1"/>
        <v>19.66</v>
      </c>
      <c r="U50" s="382">
        <v>504747100</v>
      </c>
    </row>
    <row r="51" spans="1:21" s="21" customFormat="1">
      <c r="A51" s="23">
        <v>39</v>
      </c>
      <c r="B51" s="23" t="s">
        <v>1264</v>
      </c>
      <c r="C51" s="23"/>
      <c r="D51" s="23">
        <v>15</v>
      </c>
      <c r="E51" s="23" t="s">
        <v>414</v>
      </c>
      <c r="F51" s="23"/>
      <c r="G51" s="23">
        <f>D51/100*20</f>
        <v>3</v>
      </c>
      <c r="H51" s="23">
        <f>D51/100*40</f>
        <v>6</v>
      </c>
      <c r="I51" s="23">
        <v>5</v>
      </c>
      <c r="J51" s="220">
        <v>1</v>
      </c>
      <c r="K51" s="382">
        <v>52700000</v>
      </c>
      <c r="L51" s="222">
        <f t="shared" si="7"/>
        <v>790500000</v>
      </c>
      <c r="M51" s="489">
        <f t="shared" si="2"/>
        <v>158100000</v>
      </c>
      <c r="N51" s="489">
        <f t="shared" si="6"/>
        <v>316200000</v>
      </c>
      <c r="O51" s="489">
        <f t="shared" si="4"/>
        <v>263500000</v>
      </c>
      <c r="P51" s="378">
        <f t="shared" si="5"/>
        <v>52700000</v>
      </c>
      <c r="Q51" s="909" t="s">
        <v>4719</v>
      </c>
      <c r="R51" s="465"/>
      <c r="S51" s="465"/>
      <c r="T51" s="907">
        <f t="shared" si="1"/>
        <v>15</v>
      </c>
      <c r="U51" s="221"/>
    </row>
    <row r="52" spans="1:21" s="21" customFormat="1">
      <c r="A52" s="168"/>
      <c r="B52" s="1188" t="s">
        <v>2994</v>
      </c>
      <c r="C52" s="1188"/>
      <c r="D52" s="1188"/>
      <c r="E52" s="1188"/>
      <c r="F52" s="1188"/>
      <c r="G52" s="1188"/>
      <c r="H52" s="1188"/>
      <c r="I52" s="1188"/>
      <c r="J52" s="1189"/>
      <c r="K52" s="382"/>
      <c r="L52" s="379">
        <f>SUM(L48:L51)</f>
        <v>9084850000</v>
      </c>
      <c r="M52" s="379">
        <f>SUM(M48:M51)</f>
        <v>1513895000</v>
      </c>
      <c r="N52" s="379">
        <f>SUM(N48:N51)</f>
        <v>3330865000</v>
      </c>
      <c r="O52" s="379">
        <f>SUM(O48:O51)</f>
        <v>3139617500</v>
      </c>
      <c r="P52" s="379">
        <f>SUM(P48:P51)</f>
        <v>1100472500</v>
      </c>
      <c r="Q52" s="873"/>
      <c r="R52" s="465"/>
      <c r="S52" s="465"/>
      <c r="T52" s="907"/>
      <c r="U52" s="221"/>
    </row>
    <row r="53" spans="1:21" s="21" customFormat="1">
      <c r="A53" s="1190" t="s">
        <v>1265</v>
      </c>
      <c r="B53" s="1187"/>
      <c r="C53" s="1187"/>
      <c r="D53" s="1187"/>
      <c r="E53" s="1187"/>
      <c r="F53" s="1187"/>
      <c r="G53" s="1187"/>
      <c r="H53" s="1187"/>
      <c r="I53" s="1187"/>
      <c r="J53" s="1187"/>
      <c r="K53" s="376"/>
      <c r="L53" s="380"/>
      <c r="M53" s="380"/>
      <c r="N53" s="380"/>
      <c r="O53" s="380"/>
      <c r="P53" s="380"/>
      <c r="Q53" s="873"/>
      <c r="R53" s="465"/>
      <c r="S53" s="465"/>
      <c r="T53" s="907"/>
      <c r="U53" s="221"/>
    </row>
    <row r="54" spans="1:21" s="21" customFormat="1" ht="120">
      <c r="A54" s="23">
        <v>40</v>
      </c>
      <c r="B54" s="23" t="s">
        <v>1266</v>
      </c>
      <c r="C54" s="23"/>
      <c r="D54" s="23">
        <v>120</v>
      </c>
      <c r="E54" s="23" t="s">
        <v>414</v>
      </c>
      <c r="F54" s="23"/>
      <c r="G54" s="23">
        <v>24</v>
      </c>
      <c r="H54" s="23">
        <v>48</v>
      </c>
      <c r="I54" s="23">
        <v>24</v>
      </c>
      <c r="J54" s="220">
        <v>24</v>
      </c>
      <c r="K54" s="382">
        <v>59000000</v>
      </c>
      <c r="L54" s="222">
        <f t="shared" si="7"/>
        <v>7080000000</v>
      </c>
      <c r="M54" s="489">
        <f t="shared" si="2"/>
        <v>1416000000</v>
      </c>
      <c r="N54" s="489">
        <f t="shared" si="6"/>
        <v>2832000000</v>
      </c>
      <c r="O54" s="489">
        <f t="shared" si="4"/>
        <v>1416000000</v>
      </c>
      <c r="P54" s="378">
        <f t="shared" si="5"/>
        <v>1416000000</v>
      </c>
      <c r="Q54" s="891" t="s">
        <v>4227</v>
      </c>
      <c r="R54" s="826" t="s">
        <v>4792</v>
      </c>
      <c r="S54" s="465">
        <f>24+5+20+20</f>
        <v>69</v>
      </c>
      <c r="T54" s="907">
        <f t="shared" si="1"/>
        <v>51</v>
      </c>
      <c r="U54" s="221">
        <f>1416000000+295000000+1180000000+1180000000</f>
        <v>4071000000</v>
      </c>
    </row>
    <row r="55" spans="1:21" s="21" customFormat="1" ht="90">
      <c r="A55" s="23">
        <v>41</v>
      </c>
      <c r="B55" s="23" t="s">
        <v>1267</v>
      </c>
      <c r="C55" s="23"/>
      <c r="D55" s="23">
        <v>30</v>
      </c>
      <c r="E55" s="23" t="s">
        <v>414</v>
      </c>
      <c r="F55" s="23"/>
      <c r="G55" s="23">
        <v>12</v>
      </c>
      <c r="H55" s="23">
        <v>6</v>
      </c>
      <c r="I55" s="23">
        <v>6</v>
      </c>
      <c r="J55" s="220">
        <v>6</v>
      </c>
      <c r="K55" s="221">
        <v>7480000</v>
      </c>
      <c r="L55" s="222">
        <f t="shared" si="7"/>
        <v>224400000</v>
      </c>
      <c r="M55" s="489">
        <f t="shared" si="2"/>
        <v>89760000</v>
      </c>
      <c r="N55" s="489">
        <f t="shared" si="6"/>
        <v>44880000</v>
      </c>
      <c r="O55" s="489">
        <f t="shared" si="4"/>
        <v>44880000</v>
      </c>
      <c r="P55" s="378">
        <f t="shared" si="5"/>
        <v>44880000</v>
      </c>
      <c r="Q55" s="909" t="s">
        <v>4719</v>
      </c>
      <c r="R55" s="826" t="s">
        <v>4860</v>
      </c>
      <c r="S55" s="465">
        <f>10.5+2+10.01</f>
        <v>22.509999999999998</v>
      </c>
      <c r="T55" s="907">
        <f t="shared" si="1"/>
        <v>7.490000000000002</v>
      </c>
      <c r="U55" s="221">
        <f>51219000+50998500+10550000+49929880</f>
        <v>162697380</v>
      </c>
    </row>
    <row r="56" spans="1:21" s="21" customFormat="1">
      <c r="A56" s="23">
        <v>42</v>
      </c>
      <c r="B56" s="23" t="s">
        <v>1268</v>
      </c>
      <c r="C56" s="23"/>
      <c r="D56" s="23">
        <v>5</v>
      </c>
      <c r="E56" s="23" t="s">
        <v>414</v>
      </c>
      <c r="F56" s="23"/>
      <c r="G56" s="23">
        <v>2</v>
      </c>
      <c r="H56" s="23">
        <v>1</v>
      </c>
      <c r="I56" s="23">
        <v>1</v>
      </c>
      <c r="J56" s="220">
        <v>1</v>
      </c>
      <c r="K56" s="221">
        <v>15180000</v>
      </c>
      <c r="L56" s="222">
        <f t="shared" si="7"/>
        <v>75900000</v>
      </c>
      <c r="M56" s="489">
        <f t="shared" si="2"/>
        <v>30360000</v>
      </c>
      <c r="N56" s="489">
        <f t="shared" si="6"/>
        <v>15180000</v>
      </c>
      <c r="O56" s="489">
        <f t="shared" si="4"/>
        <v>15180000</v>
      </c>
      <c r="P56" s="378">
        <f t="shared" si="5"/>
        <v>15180000</v>
      </c>
      <c r="Q56" s="888" t="s">
        <v>4237</v>
      </c>
      <c r="R56" s="465"/>
      <c r="S56" s="465"/>
      <c r="T56" s="907">
        <f t="shared" si="1"/>
        <v>5</v>
      </c>
      <c r="U56" s="221"/>
    </row>
    <row r="57" spans="1:21" s="21" customFormat="1" ht="90">
      <c r="A57" s="23">
        <v>43</v>
      </c>
      <c r="B57" s="23" t="s">
        <v>1269</v>
      </c>
      <c r="C57" s="23"/>
      <c r="D57" s="23">
        <v>40</v>
      </c>
      <c r="E57" s="23" t="s">
        <v>414</v>
      </c>
      <c r="F57" s="23"/>
      <c r="G57" s="23">
        <v>16</v>
      </c>
      <c r="H57" s="23">
        <v>8</v>
      </c>
      <c r="I57" s="23">
        <v>8</v>
      </c>
      <c r="J57" s="220">
        <v>8</v>
      </c>
      <c r="K57" s="221">
        <v>55000000</v>
      </c>
      <c r="L57" s="222">
        <f t="shared" si="7"/>
        <v>2200000000</v>
      </c>
      <c r="M57" s="489">
        <f t="shared" si="2"/>
        <v>880000000</v>
      </c>
      <c r="N57" s="489">
        <f t="shared" si="6"/>
        <v>440000000</v>
      </c>
      <c r="O57" s="489">
        <f t="shared" si="4"/>
        <v>440000000</v>
      </c>
      <c r="P57" s="378">
        <f t="shared" si="5"/>
        <v>440000000</v>
      </c>
      <c r="Q57" s="891" t="s">
        <v>4227</v>
      </c>
      <c r="R57" s="826" t="s">
        <v>4793</v>
      </c>
      <c r="S57" s="465">
        <f>16+10+10</f>
        <v>36</v>
      </c>
      <c r="T57" s="907">
        <f t="shared" si="1"/>
        <v>4</v>
      </c>
      <c r="U57" s="221">
        <f>880000000+550000000+550000000</f>
        <v>1980000000</v>
      </c>
    </row>
    <row r="58" spans="1:21" s="21" customFormat="1" ht="60">
      <c r="A58" s="23">
        <v>44</v>
      </c>
      <c r="B58" s="23" t="s">
        <v>1270</v>
      </c>
      <c r="C58" s="23"/>
      <c r="D58" s="23">
        <v>250</v>
      </c>
      <c r="E58" s="23" t="s">
        <v>414</v>
      </c>
      <c r="F58" s="23"/>
      <c r="G58" s="23">
        <v>50</v>
      </c>
      <c r="H58" s="23">
        <v>100</v>
      </c>
      <c r="I58" s="23">
        <v>50</v>
      </c>
      <c r="J58" s="220">
        <v>50</v>
      </c>
      <c r="K58" s="221">
        <v>9500000</v>
      </c>
      <c r="L58" s="222">
        <f t="shared" si="7"/>
        <v>2375000000</v>
      </c>
      <c r="M58" s="489">
        <f t="shared" si="2"/>
        <v>475000000</v>
      </c>
      <c r="N58" s="489">
        <f t="shared" si="6"/>
        <v>950000000</v>
      </c>
      <c r="O58" s="489">
        <f t="shared" si="4"/>
        <v>475000000</v>
      </c>
      <c r="P58" s="378">
        <f t="shared" si="5"/>
        <v>475000000</v>
      </c>
      <c r="Q58" s="891" t="s">
        <v>4227</v>
      </c>
      <c r="R58" s="826" t="s">
        <v>4730</v>
      </c>
      <c r="S58" s="465">
        <f>10+50</f>
        <v>60</v>
      </c>
      <c r="T58" s="907">
        <f t="shared" si="1"/>
        <v>190</v>
      </c>
      <c r="U58" s="221">
        <f>12500000+62500000</f>
        <v>75000000</v>
      </c>
    </row>
    <row r="59" spans="1:21" s="21" customFormat="1" ht="90">
      <c r="A59" s="23">
        <v>45</v>
      </c>
      <c r="B59" s="23" t="s">
        <v>1271</v>
      </c>
      <c r="C59" s="23"/>
      <c r="D59" s="23">
        <v>60</v>
      </c>
      <c r="E59" s="23" t="s">
        <v>414</v>
      </c>
      <c r="F59" s="23"/>
      <c r="G59" s="23">
        <v>24</v>
      </c>
      <c r="H59" s="23">
        <v>12</v>
      </c>
      <c r="I59" s="23">
        <v>12</v>
      </c>
      <c r="J59" s="220">
        <v>12</v>
      </c>
      <c r="K59" s="221">
        <v>114400000</v>
      </c>
      <c r="L59" s="222">
        <f t="shared" si="7"/>
        <v>6864000000</v>
      </c>
      <c r="M59" s="489">
        <f t="shared" si="2"/>
        <v>2745600000</v>
      </c>
      <c r="N59" s="489">
        <f t="shared" si="6"/>
        <v>1372800000</v>
      </c>
      <c r="O59" s="489">
        <f t="shared" si="4"/>
        <v>1372800000</v>
      </c>
      <c r="P59" s="378">
        <f t="shared" si="5"/>
        <v>1372800000</v>
      </c>
      <c r="Q59" s="909" t="s">
        <v>4719</v>
      </c>
      <c r="R59" s="826" t="s">
        <v>4794</v>
      </c>
      <c r="S59" s="465">
        <f>4.6+5.7+6.3</f>
        <v>16.600000000000001</v>
      </c>
      <c r="T59" s="907">
        <f t="shared" si="1"/>
        <v>43.4</v>
      </c>
      <c r="U59" s="221">
        <f>478400000+592800000+664650000</f>
        <v>1735850000</v>
      </c>
    </row>
    <row r="60" spans="1:21" s="21" customFormat="1">
      <c r="A60" s="23">
        <v>46</v>
      </c>
      <c r="B60" s="23" t="s">
        <v>1272</v>
      </c>
      <c r="C60" s="23"/>
      <c r="D60" s="23">
        <v>10</v>
      </c>
      <c r="E60" s="23" t="s">
        <v>414</v>
      </c>
      <c r="F60" s="23"/>
      <c r="G60" s="23">
        <v>4</v>
      </c>
      <c r="H60" s="23">
        <v>2</v>
      </c>
      <c r="I60" s="23">
        <v>2</v>
      </c>
      <c r="J60" s="220">
        <v>2</v>
      </c>
      <c r="K60" s="221">
        <v>151800000</v>
      </c>
      <c r="L60" s="222">
        <f t="shared" si="7"/>
        <v>1518000000</v>
      </c>
      <c r="M60" s="489">
        <f t="shared" si="2"/>
        <v>607200000</v>
      </c>
      <c r="N60" s="489">
        <f t="shared" si="6"/>
        <v>303600000</v>
      </c>
      <c r="O60" s="489">
        <f t="shared" si="4"/>
        <v>303600000</v>
      </c>
      <c r="P60" s="378">
        <f t="shared" si="5"/>
        <v>303600000</v>
      </c>
      <c r="Q60" s="912"/>
      <c r="R60" s="465"/>
      <c r="S60" s="465"/>
      <c r="T60" s="907">
        <f t="shared" si="1"/>
        <v>10</v>
      </c>
      <c r="U60" s="221"/>
    </row>
    <row r="61" spans="1:21" s="21" customFormat="1" ht="90">
      <c r="A61" s="23">
        <v>47</v>
      </c>
      <c r="B61" s="23" t="s">
        <v>1273</v>
      </c>
      <c r="C61" s="23"/>
      <c r="D61" s="23">
        <v>200</v>
      </c>
      <c r="E61" s="23" t="s">
        <v>414</v>
      </c>
      <c r="F61" s="23"/>
      <c r="G61" s="23">
        <v>40</v>
      </c>
      <c r="H61" s="23">
        <v>80</v>
      </c>
      <c r="I61" s="23">
        <v>40</v>
      </c>
      <c r="J61" s="220">
        <v>40</v>
      </c>
      <c r="K61" s="221">
        <v>113960000</v>
      </c>
      <c r="L61" s="222">
        <f t="shared" si="7"/>
        <v>22792000000</v>
      </c>
      <c r="M61" s="489">
        <f t="shared" si="2"/>
        <v>4558400000</v>
      </c>
      <c r="N61" s="489">
        <f t="shared" si="6"/>
        <v>9116800000</v>
      </c>
      <c r="O61" s="489">
        <f t="shared" si="4"/>
        <v>4558400000</v>
      </c>
      <c r="P61" s="378">
        <f t="shared" si="5"/>
        <v>4558400000</v>
      </c>
      <c r="Q61" s="909" t="s">
        <v>4719</v>
      </c>
      <c r="R61" s="826" t="s">
        <v>4795</v>
      </c>
      <c r="S61" s="465">
        <f>23+9+30</f>
        <v>62</v>
      </c>
      <c r="T61" s="907">
        <f t="shared" si="1"/>
        <v>138</v>
      </c>
      <c r="U61" s="221">
        <f>2382800000+932400000+3135000000</f>
        <v>6450200000</v>
      </c>
    </row>
    <row r="62" spans="1:21" s="21" customFormat="1" ht="90">
      <c r="A62" s="23">
        <v>48</v>
      </c>
      <c r="B62" s="23" t="s">
        <v>1274</v>
      </c>
      <c r="C62" s="23"/>
      <c r="D62" s="23">
        <v>60</v>
      </c>
      <c r="E62" s="23" t="s">
        <v>414</v>
      </c>
      <c r="F62" s="23"/>
      <c r="G62" s="23">
        <v>24</v>
      </c>
      <c r="H62" s="23">
        <v>12</v>
      </c>
      <c r="I62" s="23">
        <v>12</v>
      </c>
      <c r="J62" s="220">
        <v>12</v>
      </c>
      <c r="K62" s="221">
        <v>220000000</v>
      </c>
      <c r="L62" s="222">
        <f t="shared" si="7"/>
        <v>13200000000</v>
      </c>
      <c r="M62" s="489">
        <f t="shared" si="2"/>
        <v>5280000000</v>
      </c>
      <c r="N62" s="489">
        <f t="shared" si="6"/>
        <v>2640000000</v>
      </c>
      <c r="O62" s="489">
        <f t="shared" si="4"/>
        <v>2640000000</v>
      </c>
      <c r="P62" s="378">
        <f t="shared" si="5"/>
        <v>2640000000</v>
      </c>
      <c r="Q62" s="909" t="s">
        <v>4719</v>
      </c>
      <c r="R62" s="826" t="s">
        <v>4796</v>
      </c>
      <c r="S62" s="465">
        <f>2.8+0.425+6</f>
        <v>9.2249999999999996</v>
      </c>
      <c r="T62" s="907">
        <f t="shared" si="1"/>
        <v>50.774999999999999</v>
      </c>
      <c r="U62" s="221">
        <f>568650000+86700000+1233000000</f>
        <v>1888350000</v>
      </c>
    </row>
    <row r="63" spans="1:21" s="27" customFormat="1" ht="15.75">
      <c r="A63" s="23">
        <v>49</v>
      </c>
      <c r="B63" s="23" t="s">
        <v>1275</v>
      </c>
      <c r="C63" s="23"/>
      <c r="D63" s="23">
        <v>20</v>
      </c>
      <c r="E63" s="23" t="s">
        <v>414</v>
      </c>
      <c r="F63" s="23"/>
      <c r="G63" s="23">
        <v>8</v>
      </c>
      <c r="H63" s="23">
        <v>4</v>
      </c>
      <c r="I63" s="23">
        <v>4</v>
      </c>
      <c r="J63" s="220">
        <v>4</v>
      </c>
      <c r="K63" s="221">
        <v>223602500</v>
      </c>
      <c r="L63" s="222">
        <f t="shared" si="7"/>
        <v>4472050000</v>
      </c>
      <c r="M63" s="489">
        <f t="shared" si="2"/>
        <v>1788820000</v>
      </c>
      <c r="N63" s="489">
        <f t="shared" si="6"/>
        <v>894410000</v>
      </c>
      <c r="O63" s="489">
        <f t="shared" si="4"/>
        <v>894410000</v>
      </c>
      <c r="P63" s="378">
        <f t="shared" si="5"/>
        <v>894410000</v>
      </c>
      <c r="Q63" s="912"/>
      <c r="R63" s="889"/>
      <c r="S63" s="889"/>
      <c r="T63" s="907">
        <f t="shared" si="1"/>
        <v>20</v>
      </c>
      <c r="U63" s="910"/>
    </row>
    <row r="64" spans="1:21" s="27" customFormat="1" ht="30">
      <c r="A64" s="23">
        <v>50</v>
      </c>
      <c r="B64" s="23" t="s">
        <v>1276</v>
      </c>
      <c r="C64" s="23"/>
      <c r="D64" s="23">
        <v>12</v>
      </c>
      <c r="E64" s="23" t="s">
        <v>414</v>
      </c>
      <c r="F64" s="23"/>
      <c r="G64" s="23">
        <v>6</v>
      </c>
      <c r="H64" s="23">
        <v>2</v>
      </c>
      <c r="I64" s="23">
        <v>2</v>
      </c>
      <c r="J64" s="220">
        <v>2</v>
      </c>
      <c r="K64" s="221">
        <v>198000000</v>
      </c>
      <c r="L64" s="222">
        <f t="shared" si="7"/>
        <v>2376000000</v>
      </c>
      <c r="M64" s="489">
        <f t="shared" si="2"/>
        <v>1188000000</v>
      </c>
      <c r="N64" s="489">
        <f t="shared" si="6"/>
        <v>396000000</v>
      </c>
      <c r="O64" s="489">
        <f t="shared" si="4"/>
        <v>396000000</v>
      </c>
      <c r="P64" s="378">
        <f t="shared" si="5"/>
        <v>396000000</v>
      </c>
      <c r="Q64" s="909" t="s">
        <v>4719</v>
      </c>
      <c r="R64" s="977" t="s">
        <v>4797</v>
      </c>
      <c r="S64" s="977">
        <v>0.94</v>
      </c>
      <c r="T64" s="977">
        <f t="shared" si="1"/>
        <v>11.06</v>
      </c>
      <c r="U64" s="221">
        <v>172212700</v>
      </c>
    </row>
    <row r="65" spans="1:21" ht="60">
      <c r="A65" s="23">
        <v>51</v>
      </c>
      <c r="B65" s="23" t="s">
        <v>1277</v>
      </c>
      <c r="C65" s="23"/>
      <c r="D65" s="23">
        <v>10</v>
      </c>
      <c r="E65" s="23" t="s">
        <v>414</v>
      </c>
      <c r="F65" s="23"/>
      <c r="G65" s="23">
        <v>4</v>
      </c>
      <c r="H65" s="23">
        <v>2</v>
      </c>
      <c r="I65" s="23">
        <v>2</v>
      </c>
      <c r="J65" s="220">
        <v>2</v>
      </c>
      <c r="K65" s="221">
        <v>224015000</v>
      </c>
      <c r="L65" s="222">
        <f t="shared" si="7"/>
        <v>2240150000</v>
      </c>
      <c r="M65" s="489">
        <f t="shared" si="2"/>
        <v>896060000</v>
      </c>
      <c r="N65" s="489">
        <f t="shared" si="6"/>
        <v>448030000</v>
      </c>
      <c r="O65" s="489">
        <f t="shared" si="4"/>
        <v>448030000</v>
      </c>
      <c r="P65" s="378">
        <f t="shared" si="5"/>
        <v>448030000</v>
      </c>
      <c r="Q65" s="909" t="s">
        <v>4719</v>
      </c>
      <c r="R65" s="826" t="s">
        <v>4798</v>
      </c>
      <c r="S65" s="826">
        <f>1+0.425</f>
        <v>1.425</v>
      </c>
      <c r="T65" s="907">
        <f t="shared" si="1"/>
        <v>8.5749999999999993</v>
      </c>
      <c r="U65" s="221">
        <f>239308000+103150000</f>
        <v>342458000</v>
      </c>
    </row>
    <row r="66" spans="1:21">
      <c r="A66" s="23">
        <v>52</v>
      </c>
      <c r="B66" s="23" t="s">
        <v>1278</v>
      </c>
      <c r="C66" s="23"/>
      <c r="D66" s="23">
        <v>4</v>
      </c>
      <c r="E66" s="23" t="s">
        <v>414</v>
      </c>
      <c r="F66" s="23"/>
      <c r="G66" s="23">
        <v>1</v>
      </c>
      <c r="H66" s="23">
        <v>1</v>
      </c>
      <c r="I66" s="23">
        <v>1</v>
      </c>
      <c r="J66" s="220">
        <v>1</v>
      </c>
      <c r="K66" s="221">
        <v>308660000</v>
      </c>
      <c r="L66" s="222">
        <f t="shared" si="7"/>
        <v>1234640000</v>
      </c>
      <c r="M66" s="489">
        <f t="shared" si="2"/>
        <v>308660000</v>
      </c>
      <c r="N66" s="489">
        <f t="shared" si="6"/>
        <v>308660000</v>
      </c>
      <c r="O66" s="489">
        <f t="shared" si="4"/>
        <v>308660000</v>
      </c>
      <c r="P66" s="378">
        <f t="shared" si="5"/>
        <v>308660000</v>
      </c>
      <c r="Q66" s="912"/>
      <c r="R66" s="383"/>
      <c r="S66" s="383"/>
      <c r="T66" s="907">
        <f t="shared" si="1"/>
        <v>4</v>
      </c>
      <c r="U66" s="911"/>
    </row>
    <row r="67" spans="1:21" ht="30">
      <c r="A67" s="23">
        <v>53</v>
      </c>
      <c r="B67" s="23" t="s">
        <v>1279</v>
      </c>
      <c r="C67" s="23" t="s">
        <v>1280</v>
      </c>
      <c r="D67" s="23">
        <v>3000</v>
      </c>
      <c r="E67" s="23" t="s">
        <v>286</v>
      </c>
      <c r="F67" s="23"/>
      <c r="G67" s="23">
        <v>600</v>
      </c>
      <c r="H67" s="23">
        <v>1200</v>
      </c>
      <c r="I67" s="23">
        <v>600</v>
      </c>
      <c r="J67" s="220">
        <v>600</v>
      </c>
      <c r="K67" s="221">
        <v>2217500</v>
      </c>
      <c r="L67" s="222">
        <f t="shared" si="7"/>
        <v>6652500000</v>
      </c>
      <c r="M67" s="489">
        <f t="shared" si="2"/>
        <v>1330500000</v>
      </c>
      <c r="N67" s="489">
        <f t="shared" si="6"/>
        <v>2661000000</v>
      </c>
      <c r="O67" s="489">
        <f t="shared" si="4"/>
        <v>1330500000</v>
      </c>
      <c r="P67" s="378">
        <f t="shared" si="5"/>
        <v>1330500000</v>
      </c>
      <c r="Q67" s="912"/>
      <c r="R67" s="977" t="s">
        <v>4799</v>
      </c>
      <c r="S67" s="136">
        <v>344</v>
      </c>
      <c r="T67" s="907">
        <f t="shared" si="1"/>
        <v>2656</v>
      </c>
      <c r="U67" s="942">
        <v>968704000</v>
      </c>
    </row>
    <row r="68" spans="1:21">
      <c r="A68" s="23">
        <v>54</v>
      </c>
      <c r="B68" s="23" t="s">
        <v>1281</v>
      </c>
      <c r="C68" s="23"/>
      <c r="D68" s="23">
        <v>10</v>
      </c>
      <c r="E68" s="23" t="s">
        <v>414</v>
      </c>
      <c r="F68" s="23"/>
      <c r="G68" s="23">
        <v>4</v>
      </c>
      <c r="H68" s="23">
        <v>2</v>
      </c>
      <c r="I68" s="23">
        <v>2</v>
      </c>
      <c r="J68" s="220">
        <v>2</v>
      </c>
      <c r="K68" s="221">
        <v>301350000</v>
      </c>
      <c r="L68" s="222">
        <f t="shared" si="7"/>
        <v>3013500000</v>
      </c>
      <c r="M68" s="489">
        <f t="shared" si="2"/>
        <v>1205400000</v>
      </c>
      <c r="N68" s="489">
        <f t="shared" si="6"/>
        <v>602700000</v>
      </c>
      <c r="O68" s="489">
        <f t="shared" si="4"/>
        <v>602700000</v>
      </c>
      <c r="P68" s="378">
        <f t="shared" si="5"/>
        <v>602700000</v>
      </c>
      <c r="Q68" s="913"/>
      <c r="R68" s="383"/>
      <c r="S68" s="383"/>
      <c r="T68" s="907">
        <f t="shared" si="1"/>
        <v>10</v>
      </c>
      <c r="U68" s="911"/>
    </row>
    <row r="69" spans="1:21">
      <c r="A69" s="167"/>
      <c r="B69" s="1193" t="s">
        <v>2994</v>
      </c>
      <c r="C69" s="1194"/>
      <c r="D69" s="1194"/>
      <c r="E69" s="1194"/>
      <c r="F69" s="1194"/>
      <c r="G69" s="1194"/>
      <c r="H69" s="1194"/>
      <c r="I69" s="1194"/>
      <c r="J69" s="1195"/>
      <c r="K69" s="884"/>
      <c r="L69" s="379">
        <f>SUM(L54:L68)</f>
        <v>76318140000</v>
      </c>
      <c r="M69" s="379">
        <f>SUM(M54:M68)</f>
        <v>22799760000</v>
      </c>
      <c r="N69" s="379">
        <f>SUM(N54:N68)</f>
        <v>23026060000</v>
      </c>
      <c r="O69" s="379">
        <f>SUM(O54:O68)</f>
        <v>15246160000</v>
      </c>
      <c r="P69" s="379">
        <f>SUM(P54:P68)</f>
        <v>15246160000</v>
      </c>
      <c r="Q69" s="885"/>
      <c r="R69" s="383"/>
      <c r="S69" s="383"/>
      <c r="T69" s="907"/>
      <c r="U69" s="911"/>
    </row>
    <row r="70" spans="1:21" ht="15.75">
      <c r="A70" s="174"/>
      <c r="B70" s="1196" t="s">
        <v>2995</v>
      </c>
      <c r="C70" s="1197"/>
      <c r="D70" s="1197"/>
      <c r="E70" s="1197"/>
      <c r="F70" s="1197"/>
      <c r="G70" s="1197"/>
      <c r="H70" s="1197"/>
      <c r="I70" s="1197"/>
      <c r="J70" s="1197"/>
      <c r="K70" s="1198"/>
      <c r="L70" s="379">
        <f>L28+L40+L46+L52+L69</f>
        <v>136321083694.50999</v>
      </c>
      <c r="M70" s="379">
        <f>M28+M40+M46+M52+M69</f>
        <v>46522230001.694992</v>
      </c>
      <c r="N70" s="379">
        <f>N28+N40+N46+N52+N69</f>
        <v>37158330638.938332</v>
      </c>
      <c r="O70" s="379">
        <f>O28+O40+O46+O52+O69</f>
        <v>28369399060.938332</v>
      </c>
      <c r="P70" s="379">
        <f>P28+P40+P46+P52+P69</f>
        <v>24271123992.938332</v>
      </c>
      <c r="Q70" s="708"/>
      <c r="R70" s="383"/>
      <c r="S70" s="383"/>
      <c r="T70" s="907"/>
      <c r="U70" s="911"/>
    </row>
    <row r="75" spans="1:21">
      <c r="O75" s="458"/>
    </row>
  </sheetData>
  <customSheetViews>
    <customSheetView guid="{750F99BE-5C19-4848-A09A-0E4FD0F9F8FC}" topLeftCell="A40">
      <selection activeCell="L70" activeCellId="1" sqref="K64 L70"/>
      <pageMargins left="0.7" right="0.7" top="0.75" bottom="0.75" header="0.3" footer="0.3"/>
      <pageSetup paperSize="9" orientation="portrait" verticalDpi="0" r:id="rId1"/>
    </customSheetView>
    <customSheetView guid="{DEF9C65D-F8A0-4631-A6BF-69DD462E745F}">
      <selection activeCell="O72" sqref="O72"/>
      <pageMargins left="0.7" right="0.7" top="0.75" bottom="0.75" header="0.3" footer="0.3"/>
      <pageSetup paperSize="9" orientation="portrait" verticalDpi="0" r:id="rId2"/>
    </customSheetView>
    <customSheetView guid="{F53706EC-596C-4347-9C22-A701412B0A41}">
      <selection activeCell="O72" sqref="O72"/>
      <pageMargins left="0.7" right="0.7" top="0.75" bottom="0.75" header="0.3" footer="0.3"/>
      <pageSetup paperSize="9" orientation="portrait" verticalDpi="0" r:id="rId3"/>
    </customSheetView>
    <customSheetView guid="{93AFD236-396B-4FF3-AB41-05714D8754DB}" topLeftCell="A40">
      <selection activeCell="L70" activeCellId="1" sqref="K64 L70"/>
      <pageMargins left="0.7" right="0.7" top="0.75" bottom="0.75" header="0.3" footer="0.3"/>
      <pageSetup paperSize="9" orientation="portrait" verticalDpi="0" r:id="rId4"/>
    </customSheetView>
  </customSheetViews>
  <mergeCells count="29">
    <mergeCell ref="A53:J53"/>
    <mergeCell ref="B69:J69"/>
    <mergeCell ref="B70:K70"/>
    <mergeCell ref="P1:P2"/>
    <mergeCell ref="K1:K2"/>
    <mergeCell ref="L1:L2"/>
    <mergeCell ref="M1:M2"/>
    <mergeCell ref="N1:N2"/>
    <mergeCell ref="O1:O2"/>
    <mergeCell ref="G1:J1"/>
    <mergeCell ref="F1:F2"/>
    <mergeCell ref="A3:J3"/>
    <mergeCell ref="A28:J28"/>
    <mergeCell ref="A1:A2"/>
    <mergeCell ref="B1:B2"/>
    <mergeCell ref="R1:R2"/>
    <mergeCell ref="S1:S2"/>
    <mergeCell ref="T1:T2"/>
    <mergeCell ref="U1:U2"/>
    <mergeCell ref="B52:J52"/>
    <mergeCell ref="A47:J47"/>
    <mergeCell ref="Q1:Q2"/>
    <mergeCell ref="C1:C2"/>
    <mergeCell ref="D1:D2"/>
    <mergeCell ref="E1:E2"/>
    <mergeCell ref="B40:J40"/>
    <mergeCell ref="A41:J41"/>
    <mergeCell ref="B46:J46"/>
    <mergeCell ref="A29:J29"/>
  </mergeCells>
  <conditionalFormatting sqref="A29">
    <cfRule type="duplicateValues" dxfId="0" priority="1"/>
  </conditionalFormatting>
  <pageMargins left="0.7" right="0.7" top="0.75" bottom="0.75" header="0.3" footer="0.3"/>
  <pageSetup paperSize="9" orientation="portrait" verticalDpi="0"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U623"/>
  <sheetViews>
    <sheetView zoomScale="85" zoomScaleNormal="85" workbookViewId="0">
      <pane ySplit="2" topLeftCell="A3" activePane="bottomLeft" state="frozen"/>
      <selection pane="bottomLeft" activeCell="N1" sqref="N1:V1048576"/>
    </sheetView>
  </sheetViews>
  <sheetFormatPr defaultColWidth="39.7109375" defaultRowHeight="15"/>
  <cols>
    <col min="1" max="1" width="5.5703125" style="669" customWidth="1"/>
    <col min="2" max="2" width="43.7109375" style="30" customWidth="1"/>
    <col min="3" max="3" width="19.42578125" style="669" customWidth="1"/>
    <col min="4" max="4" width="7.42578125" style="669" customWidth="1"/>
    <col min="5" max="5" width="10.5703125" style="669" customWidth="1"/>
    <col min="6" max="6" width="23.5703125" style="669" hidden="1" customWidth="1"/>
    <col min="7" max="8" width="8.7109375" style="669" hidden="1" customWidth="1"/>
    <col min="9" max="10" width="8.7109375" style="669" customWidth="1"/>
    <col min="11" max="11" width="22" style="669" hidden="1" customWidth="1"/>
    <col min="12" max="12" width="17.28515625" style="669" hidden="1" customWidth="1"/>
    <col min="13" max="13" width="11.85546875" style="669" hidden="1" customWidth="1"/>
    <col min="14" max="14" width="16.28515625" style="669" hidden="1" customWidth="1"/>
    <col min="15" max="15" width="17.7109375" style="669" hidden="1" customWidth="1"/>
    <col min="16" max="16" width="15.85546875" style="669" hidden="1" customWidth="1"/>
    <col min="17" max="17" width="21.85546875" style="708" hidden="1" customWidth="1"/>
    <col min="18" max="18" width="14.42578125" style="92" hidden="1" customWidth="1"/>
    <col min="19" max="19" width="16.5703125" style="92" hidden="1" customWidth="1"/>
    <col min="20" max="20" width="9.42578125" style="1006" hidden="1" customWidth="1"/>
    <col min="21" max="21" width="16.7109375" style="1010" hidden="1" customWidth="1"/>
    <col min="22" max="22" width="0" style="669" hidden="1" customWidth="1"/>
    <col min="23" max="16384" width="39.7109375" style="669"/>
  </cols>
  <sheetData>
    <row r="1" spans="1:21" ht="63.75" customHeight="1">
      <c r="A1" s="499" t="s">
        <v>595</v>
      </c>
      <c r="B1" s="500" t="s">
        <v>272</v>
      </c>
      <c r="C1" s="501" t="s">
        <v>273</v>
      </c>
      <c r="D1" s="821" t="s">
        <v>1280</v>
      </c>
      <c r="E1" s="500" t="s">
        <v>1</v>
      </c>
      <c r="F1" s="502" t="s">
        <v>1953</v>
      </c>
      <c r="G1" s="821" t="s">
        <v>2</v>
      </c>
      <c r="H1" s="821"/>
      <c r="I1" s="821"/>
      <c r="J1" s="821"/>
      <c r="K1" s="820" t="s">
        <v>2881</v>
      </c>
      <c r="L1" s="820" t="s">
        <v>2882</v>
      </c>
      <c r="M1" s="820" t="s">
        <v>2883</v>
      </c>
      <c r="N1" s="820" t="s">
        <v>2884</v>
      </c>
      <c r="O1" s="820" t="s">
        <v>2885</v>
      </c>
      <c r="P1" s="820" t="s">
        <v>2886</v>
      </c>
      <c r="Q1" s="1208" t="s">
        <v>4230</v>
      </c>
      <c r="R1" s="1119" t="s">
        <v>4700</v>
      </c>
      <c r="S1" s="1119" t="s">
        <v>4701</v>
      </c>
      <c r="T1" s="1119" t="s">
        <v>4702</v>
      </c>
      <c r="U1" s="1148" t="s">
        <v>2882</v>
      </c>
    </row>
    <row r="2" spans="1:21" ht="37.5">
      <c r="A2" s="499"/>
      <c r="B2" s="500"/>
      <c r="C2" s="501"/>
      <c r="D2" s="821"/>
      <c r="E2" s="500"/>
      <c r="F2" s="502"/>
      <c r="G2" s="821" t="s">
        <v>3</v>
      </c>
      <c r="H2" s="821" t="s">
        <v>4</v>
      </c>
      <c r="I2" s="821" t="s">
        <v>5</v>
      </c>
      <c r="J2" s="821" t="s">
        <v>6</v>
      </c>
      <c r="K2" s="820"/>
      <c r="L2" s="820"/>
      <c r="M2" s="820"/>
      <c r="N2" s="820"/>
      <c r="O2" s="820"/>
      <c r="P2" s="820"/>
      <c r="Q2" s="1209"/>
      <c r="R2" s="1119"/>
      <c r="S2" s="1119"/>
      <c r="T2" s="1119"/>
      <c r="U2" s="1148"/>
    </row>
    <row r="3" spans="1:21" ht="18.75" customHeight="1">
      <c r="A3" s="1170" t="s">
        <v>1286</v>
      </c>
      <c r="B3" s="1170"/>
      <c r="C3" s="1170"/>
      <c r="D3" s="1170"/>
      <c r="E3" s="1170"/>
      <c r="F3" s="1170"/>
      <c r="G3" s="1170"/>
      <c r="H3" s="1170"/>
      <c r="I3" s="1170"/>
      <c r="J3" s="1170"/>
      <c r="K3" s="1170"/>
      <c r="L3" s="1007">
        <f>SUM(L4:L5)</f>
        <v>322740000</v>
      </c>
      <c r="M3" s="1007">
        <f>SUM(M4:M5)</f>
        <v>0</v>
      </c>
      <c r="N3" s="1007">
        <f>SUM(N4:N5)</f>
        <v>107580000</v>
      </c>
      <c r="O3" s="1007">
        <f>SUM(O4:O5)</f>
        <v>107580000</v>
      </c>
      <c r="P3" s="1007">
        <f>SUM(P4:P5)</f>
        <v>107580000</v>
      </c>
      <c r="R3" s="445"/>
      <c r="S3" s="445"/>
      <c r="T3" s="1005"/>
      <c r="U3" s="1008"/>
    </row>
    <row r="4" spans="1:21" ht="30">
      <c r="A4" s="473">
        <v>1</v>
      </c>
      <c r="B4" s="819" t="s">
        <v>1287</v>
      </c>
      <c r="C4" s="819" t="s">
        <v>1288</v>
      </c>
      <c r="D4" s="819">
        <v>30</v>
      </c>
      <c r="E4" s="819" t="s">
        <v>286</v>
      </c>
      <c r="F4" s="475"/>
      <c r="G4" s="475"/>
      <c r="H4" s="475">
        <v>10</v>
      </c>
      <c r="I4" s="475">
        <v>10</v>
      </c>
      <c r="J4" s="475">
        <v>10</v>
      </c>
      <c r="K4" s="494">
        <v>8030000</v>
      </c>
      <c r="L4" s="1007">
        <f>K4*D4</f>
        <v>240900000</v>
      </c>
      <c r="M4" s="1007">
        <f>K4*G4</f>
        <v>0</v>
      </c>
      <c r="N4" s="1007">
        <f>K4*H4</f>
        <v>80300000</v>
      </c>
      <c r="O4" s="1007">
        <f>K4*I4</f>
        <v>80300000</v>
      </c>
      <c r="P4" s="1007">
        <f>K4*J4</f>
        <v>80300000</v>
      </c>
      <c r="Q4" s="1204" t="s">
        <v>4227</v>
      </c>
      <c r="R4" s="1004" t="s">
        <v>4877</v>
      </c>
      <c r="S4" s="475">
        <v>30</v>
      </c>
      <c r="T4" s="990">
        <f>G4+H4+I4+J4</f>
        <v>30</v>
      </c>
      <c r="U4" s="1008"/>
    </row>
    <row r="5" spans="1:21" ht="30">
      <c r="A5" s="473">
        <v>2</v>
      </c>
      <c r="B5" s="819" t="s">
        <v>1289</v>
      </c>
      <c r="C5" s="819" t="s">
        <v>1290</v>
      </c>
      <c r="D5" s="819">
        <v>12</v>
      </c>
      <c r="E5" s="819" t="s">
        <v>286</v>
      </c>
      <c r="F5" s="475"/>
      <c r="G5" s="475"/>
      <c r="H5" s="475">
        <v>4</v>
      </c>
      <c r="I5" s="475">
        <v>4</v>
      </c>
      <c r="J5" s="475">
        <v>4</v>
      </c>
      <c r="K5" s="494">
        <v>6820000</v>
      </c>
      <c r="L5" s="1007">
        <f>K5*D5</f>
        <v>81840000</v>
      </c>
      <c r="M5" s="1007">
        <f>K5*G5</f>
        <v>0</v>
      </c>
      <c r="N5" s="1007">
        <f>K5*H5</f>
        <v>27280000</v>
      </c>
      <c r="O5" s="1007">
        <f>K5*I5</f>
        <v>27280000</v>
      </c>
      <c r="P5" s="1007">
        <f>K5*J5</f>
        <v>27280000</v>
      </c>
      <c r="Q5" s="1205"/>
      <c r="R5" s="1001" t="s">
        <v>4878</v>
      </c>
      <c r="S5" s="475">
        <v>12</v>
      </c>
      <c r="T5" s="990">
        <f t="shared" ref="T5:T32" si="0">G5+H5+I5+J5</f>
        <v>12</v>
      </c>
      <c r="U5" s="1008"/>
    </row>
    <row r="6" spans="1:21" ht="18.75" customHeight="1">
      <c r="A6" s="1170" t="s">
        <v>1291</v>
      </c>
      <c r="B6" s="1170"/>
      <c r="C6" s="1170"/>
      <c r="D6" s="1170"/>
      <c r="E6" s="1170"/>
      <c r="F6" s="1170"/>
      <c r="G6" s="1170"/>
      <c r="H6" s="1170"/>
      <c r="I6" s="1170"/>
      <c r="J6" s="1170"/>
      <c r="K6" s="1170"/>
      <c r="L6" s="1007">
        <f>SUM(L7:L18)</f>
        <v>112719860</v>
      </c>
      <c r="M6" s="1007">
        <f>SUM(M7:M18)</f>
        <v>18167270</v>
      </c>
      <c r="N6" s="1007">
        <f>SUM(N7:N18)</f>
        <v>34598190</v>
      </c>
      <c r="O6" s="1007">
        <f>SUM(O7:O18)</f>
        <v>33953260</v>
      </c>
      <c r="P6" s="1007">
        <f>SUM(P7:P18)</f>
        <v>26001140</v>
      </c>
      <c r="R6" s="445"/>
      <c r="S6" s="445"/>
      <c r="T6" s="990"/>
      <c r="U6" s="1008"/>
    </row>
    <row r="7" spans="1:21">
      <c r="A7" s="473">
        <v>3</v>
      </c>
      <c r="B7" s="466" t="s">
        <v>1954</v>
      </c>
      <c r="C7" s="466"/>
      <c r="D7" s="470">
        <f>G7+H7+I7+J7</f>
        <v>12</v>
      </c>
      <c r="E7" s="467" t="s">
        <v>286</v>
      </c>
      <c r="F7" s="472"/>
      <c r="G7" s="470">
        <v>2</v>
      </c>
      <c r="H7" s="470">
        <v>4</v>
      </c>
      <c r="I7" s="470">
        <v>4</v>
      </c>
      <c r="J7" s="470">
        <v>2</v>
      </c>
      <c r="K7" s="494">
        <v>1017500</v>
      </c>
      <c r="L7" s="1007">
        <f>K7*D7</f>
        <v>12210000</v>
      </c>
      <c r="M7" s="1007">
        <f>K7*G7</f>
        <v>2035000</v>
      </c>
      <c r="N7" s="1007">
        <f>K7*H7</f>
        <v>4070000</v>
      </c>
      <c r="O7" s="1007">
        <f>K7*I7</f>
        <v>4070000</v>
      </c>
      <c r="P7" s="1007">
        <f>K7*J7</f>
        <v>2035000</v>
      </c>
      <c r="Q7" s="1206" t="s">
        <v>4235</v>
      </c>
      <c r="R7" s="445"/>
      <c r="S7" s="445"/>
      <c r="T7" s="990">
        <f t="shared" si="0"/>
        <v>12</v>
      </c>
      <c r="U7" s="1008"/>
    </row>
    <row r="8" spans="1:21" ht="30">
      <c r="A8" s="473">
        <v>4</v>
      </c>
      <c r="B8" s="466" t="s">
        <v>1292</v>
      </c>
      <c r="C8" s="466" t="s">
        <v>1293</v>
      </c>
      <c r="D8" s="470">
        <v>12</v>
      </c>
      <c r="E8" s="467" t="s">
        <v>286</v>
      </c>
      <c r="F8" s="472"/>
      <c r="G8" s="470">
        <v>0</v>
      </c>
      <c r="H8" s="470">
        <v>4</v>
      </c>
      <c r="I8" s="470">
        <v>4</v>
      </c>
      <c r="J8" s="470">
        <v>4</v>
      </c>
      <c r="K8" s="494">
        <v>1307900</v>
      </c>
      <c r="L8" s="1007">
        <f t="shared" ref="L8:L18" si="1">K8*D8</f>
        <v>15694800</v>
      </c>
      <c r="M8" s="1007">
        <f t="shared" ref="M8:M18" si="2">K8*G8</f>
        <v>0</v>
      </c>
      <c r="N8" s="1007">
        <f t="shared" ref="N8:N18" si="3">K8*H8</f>
        <v>5231600</v>
      </c>
      <c r="O8" s="1007">
        <f t="shared" ref="O8:O18" si="4">K8*I8</f>
        <v>5231600</v>
      </c>
      <c r="P8" s="1007">
        <f t="shared" ref="P8:P18" si="5">K8*J8</f>
        <v>5231600</v>
      </c>
      <c r="Q8" s="1207"/>
      <c r="R8" s="445"/>
      <c r="S8" s="445"/>
      <c r="T8" s="990">
        <f t="shared" si="0"/>
        <v>12</v>
      </c>
      <c r="U8" s="1008"/>
    </row>
    <row r="9" spans="1:21" ht="45">
      <c r="A9" s="473">
        <v>5</v>
      </c>
      <c r="B9" s="466" t="s">
        <v>1955</v>
      </c>
      <c r="C9" s="466" t="s">
        <v>1956</v>
      </c>
      <c r="D9" s="470">
        <f>G9+H9+I9+J9</f>
        <v>10</v>
      </c>
      <c r="E9" s="467" t="s">
        <v>286</v>
      </c>
      <c r="F9" s="472"/>
      <c r="G9" s="470">
        <v>2</v>
      </c>
      <c r="H9" s="470">
        <v>2</v>
      </c>
      <c r="I9" s="470">
        <v>3</v>
      </c>
      <c r="J9" s="470">
        <v>3</v>
      </c>
      <c r="K9" s="494">
        <v>270600</v>
      </c>
      <c r="L9" s="1007">
        <f t="shared" si="1"/>
        <v>2706000</v>
      </c>
      <c r="M9" s="1007">
        <f t="shared" si="2"/>
        <v>541200</v>
      </c>
      <c r="N9" s="1007">
        <f t="shared" si="3"/>
        <v>541200</v>
      </c>
      <c r="O9" s="1007">
        <f t="shared" si="4"/>
        <v>811800</v>
      </c>
      <c r="P9" s="1007">
        <f t="shared" si="5"/>
        <v>811800</v>
      </c>
      <c r="Q9" s="1207"/>
      <c r="R9" s="445"/>
      <c r="S9" s="445"/>
      <c r="T9" s="990">
        <f t="shared" si="0"/>
        <v>10</v>
      </c>
      <c r="U9" s="1008"/>
    </row>
    <row r="10" spans="1:21" ht="30">
      <c r="A10" s="473">
        <v>6</v>
      </c>
      <c r="B10" s="466" t="s">
        <v>1294</v>
      </c>
      <c r="C10" s="466" t="s">
        <v>1295</v>
      </c>
      <c r="D10" s="470">
        <v>8</v>
      </c>
      <c r="E10" s="467" t="s">
        <v>286</v>
      </c>
      <c r="F10" s="472"/>
      <c r="G10" s="470">
        <v>0</v>
      </c>
      <c r="H10" s="470">
        <v>4</v>
      </c>
      <c r="I10" s="470">
        <v>4</v>
      </c>
      <c r="J10" s="470">
        <v>0</v>
      </c>
      <c r="K10" s="494">
        <v>712580</v>
      </c>
      <c r="L10" s="1007">
        <f t="shared" si="1"/>
        <v>5700640</v>
      </c>
      <c r="M10" s="1007">
        <f t="shared" si="2"/>
        <v>0</v>
      </c>
      <c r="N10" s="1007">
        <f t="shared" si="3"/>
        <v>2850320</v>
      </c>
      <c r="O10" s="1007">
        <f t="shared" si="4"/>
        <v>2850320</v>
      </c>
      <c r="P10" s="1007">
        <f t="shared" si="5"/>
        <v>0</v>
      </c>
      <c r="Q10" s="1207"/>
      <c r="R10" s="445"/>
      <c r="S10" s="445"/>
      <c r="T10" s="990">
        <f t="shared" si="0"/>
        <v>8</v>
      </c>
      <c r="U10" s="1008"/>
    </row>
    <row r="11" spans="1:21" ht="30">
      <c r="A11" s="473">
        <v>7</v>
      </c>
      <c r="B11" s="466" t="s">
        <v>1296</v>
      </c>
      <c r="C11" s="466" t="s">
        <v>1297</v>
      </c>
      <c r="D11" s="470">
        <v>20</v>
      </c>
      <c r="E11" s="467" t="s">
        <v>286</v>
      </c>
      <c r="F11" s="472"/>
      <c r="G11" s="470">
        <v>0</v>
      </c>
      <c r="H11" s="470">
        <v>10</v>
      </c>
      <c r="I11" s="470">
        <v>5</v>
      </c>
      <c r="J11" s="470">
        <v>5</v>
      </c>
      <c r="K11" s="494">
        <v>631400</v>
      </c>
      <c r="L11" s="1007">
        <f t="shared" si="1"/>
        <v>12628000</v>
      </c>
      <c r="M11" s="1007">
        <f t="shared" si="2"/>
        <v>0</v>
      </c>
      <c r="N11" s="1007">
        <f t="shared" si="3"/>
        <v>6314000</v>
      </c>
      <c r="O11" s="1007">
        <f t="shared" si="4"/>
        <v>3157000</v>
      </c>
      <c r="P11" s="1007">
        <f t="shared" si="5"/>
        <v>3157000</v>
      </c>
      <c r="Q11" s="1207"/>
      <c r="R11" s="445"/>
      <c r="S11" s="445"/>
      <c r="T11" s="990">
        <f t="shared" si="0"/>
        <v>20</v>
      </c>
      <c r="U11" s="1008"/>
    </row>
    <row r="12" spans="1:21">
      <c r="A12" s="473">
        <v>8</v>
      </c>
      <c r="B12" s="466" t="s">
        <v>1957</v>
      </c>
      <c r="C12" s="466" t="s">
        <v>1958</v>
      </c>
      <c r="D12" s="470">
        <f t="shared" ref="D12:D18" si="6">G12+H12+I12+J12</f>
        <v>20</v>
      </c>
      <c r="E12" s="467" t="s">
        <v>286</v>
      </c>
      <c r="F12" s="472"/>
      <c r="G12" s="470">
        <v>4</v>
      </c>
      <c r="H12" s="470">
        <v>4</v>
      </c>
      <c r="I12" s="470">
        <v>6</v>
      </c>
      <c r="J12" s="470">
        <v>6</v>
      </c>
      <c r="K12" s="494">
        <v>671990</v>
      </c>
      <c r="L12" s="1007">
        <f t="shared" si="1"/>
        <v>13439800</v>
      </c>
      <c r="M12" s="1007">
        <f t="shared" si="2"/>
        <v>2687960</v>
      </c>
      <c r="N12" s="1007">
        <f t="shared" si="3"/>
        <v>2687960</v>
      </c>
      <c r="O12" s="1007">
        <f t="shared" si="4"/>
        <v>4031940</v>
      </c>
      <c r="P12" s="1007">
        <f t="shared" si="5"/>
        <v>4031940</v>
      </c>
      <c r="Q12" s="1207"/>
      <c r="R12" s="445"/>
      <c r="S12" s="445"/>
      <c r="T12" s="990">
        <f t="shared" si="0"/>
        <v>20</v>
      </c>
      <c r="U12" s="1008"/>
    </row>
    <row r="13" spans="1:21">
      <c r="A13" s="473">
        <v>9</v>
      </c>
      <c r="B13" s="466" t="s">
        <v>1959</v>
      </c>
      <c r="C13" s="466" t="s">
        <v>1960</v>
      </c>
      <c r="D13" s="470">
        <f t="shared" si="6"/>
        <v>12</v>
      </c>
      <c r="E13" s="467" t="s">
        <v>286</v>
      </c>
      <c r="F13" s="472"/>
      <c r="G13" s="470">
        <v>3</v>
      </c>
      <c r="H13" s="470">
        <v>3</v>
      </c>
      <c r="I13" s="470">
        <v>4</v>
      </c>
      <c r="J13" s="470">
        <v>2</v>
      </c>
      <c r="K13" s="494">
        <v>446490</v>
      </c>
      <c r="L13" s="1007">
        <f t="shared" si="1"/>
        <v>5357880</v>
      </c>
      <c r="M13" s="1007">
        <f t="shared" si="2"/>
        <v>1339470</v>
      </c>
      <c r="N13" s="1007">
        <f t="shared" si="3"/>
        <v>1339470</v>
      </c>
      <c r="O13" s="1007">
        <f t="shared" si="4"/>
        <v>1785960</v>
      </c>
      <c r="P13" s="1007">
        <f t="shared" si="5"/>
        <v>892980</v>
      </c>
      <c r="Q13" s="1207"/>
      <c r="R13" s="445"/>
      <c r="S13" s="445"/>
      <c r="T13" s="990">
        <f t="shared" si="0"/>
        <v>12</v>
      </c>
      <c r="U13" s="1008"/>
    </row>
    <row r="14" spans="1:21" ht="30">
      <c r="A14" s="473">
        <v>10</v>
      </c>
      <c r="B14" s="466" t="s">
        <v>1961</v>
      </c>
      <c r="C14" s="466" t="s">
        <v>1962</v>
      </c>
      <c r="D14" s="470">
        <f t="shared" si="6"/>
        <v>46</v>
      </c>
      <c r="E14" s="467" t="s">
        <v>286</v>
      </c>
      <c r="F14" s="472"/>
      <c r="G14" s="470">
        <v>8</v>
      </c>
      <c r="H14" s="470">
        <v>8</v>
      </c>
      <c r="I14" s="470">
        <v>16</v>
      </c>
      <c r="J14" s="470">
        <v>14</v>
      </c>
      <c r="K14" s="494">
        <v>414920</v>
      </c>
      <c r="L14" s="1007">
        <f t="shared" si="1"/>
        <v>19086320</v>
      </c>
      <c r="M14" s="1007">
        <f t="shared" si="2"/>
        <v>3319360</v>
      </c>
      <c r="N14" s="1007">
        <f t="shared" si="3"/>
        <v>3319360</v>
      </c>
      <c r="O14" s="1007">
        <f t="shared" si="4"/>
        <v>6638720</v>
      </c>
      <c r="P14" s="1007">
        <f t="shared" si="5"/>
        <v>5808880</v>
      </c>
      <c r="Q14" s="1207"/>
      <c r="R14" s="445"/>
      <c r="S14" s="445"/>
      <c r="T14" s="990">
        <f t="shared" si="0"/>
        <v>46</v>
      </c>
      <c r="U14" s="1008"/>
    </row>
    <row r="15" spans="1:21">
      <c r="A15" s="473">
        <v>11</v>
      </c>
      <c r="B15" s="466" t="s">
        <v>1963</v>
      </c>
      <c r="C15" s="466"/>
      <c r="D15" s="470">
        <f t="shared" si="6"/>
        <v>22</v>
      </c>
      <c r="E15" s="467" t="s">
        <v>286</v>
      </c>
      <c r="F15" s="472"/>
      <c r="G15" s="470">
        <v>4</v>
      </c>
      <c r="H15" s="470">
        <v>4</v>
      </c>
      <c r="I15" s="470">
        <v>8</v>
      </c>
      <c r="J15" s="470">
        <v>6</v>
      </c>
      <c r="K15" s="494">
        <v>671990</v>
      </c>
      <c r="L15" s="1007">
        <f t="shared" si="1"/>
        <v>14783780</v>
      </c>
      <c r="M15" s="1007">
        <f t="shared" si="2"/>
        <v>2687960</v>
      </c>
      <c r="N15" s="1007">
        <f t="shared" si="3"/>
        <v>2687960</v>
      </c>
      <c r="O15" s="1007">
        <f t="shared" si="4"/>
        <v>5375920</v>
      </c>
      <c r="P15" s="1007">
        <f t="shared" si="5"/>
        <v>4031940</v>
      </c>
      <c r="Q15" s="1207"/>
      <c r="R15" s="445"/>
      <c r="S15" s="445"/>
      <c r="T15" s="990">
        <f t="shared" si="0"/>
        <v>22</v>
      </c>
      <c r="U15" s="1008"/>
    </row>
    <row r="16" spans="1:21">
      <c r="A16" s="473">
        <v>12</v>
      </c>
      <c r="B16" s="466" t="s">
        <v>1964</v>
      </c>
      <c r="C16" s="466" t="s">
        <v>1965</v>
      </c>
      <c r="D16" s="470">
        <f t="shared" si="6"/>
        <v>4</v>
      </c>
      <c r="E16" s="467" t="s">
        <v>286</v>
      </c>
      <c r="F16" s="472"/>
      <c r="G16" s="470">
        <v>2</v>
      </c>
      <c r="H16" s="470">
        <v>2</v>
      </c>
      <c r="I16" s="470">
        <v>0</v>
      </c>
      <c r="J16" s="470">
        <v>0</v>
      </c>
      <c r="K16" s="494">
        <v>414920</v>
      </c>
      <c r="L16" s="1007">
        <f t="shared" si="1"/>
        <v>1659680</v>
      </c>
      <c r="M16" s="1007">
        <f t="shared" si="2"/>
        <v>829840</v>
      </c>
      <c r="N16" s="1007">
        <f t="shared" si="3"/>
        <v>829840</v>
      </c>
      <c r="O16" s="1007">
        <f t="shared" si="4"/>
        <v>0</v>
      </c>
      <c r="P16" s="1007">
        <f t="shared" si="5"/>
        <v>0</v>
      </c>
      <c r="Q16" s="1207"/>
      <c r="R16" s="445"/>
      <c r="S16" s="445"/>
      <c r="T16" s="990">
        <f t="shared" si="0"/>
        <v>4</v>
      </c>
      <c r="U16" s="1008"/>
    </row>
    <row r="17" spans="1:21">
      <c r="A17" s="473">
        <v>13</v>
      </c>
      <c r="B17" s="466" t="s">
        <v>1966</v>
      </c>
      <c r="C17" s="466" t="s">
        <v>1967</v>
      </c>
      <c r="D17" s="470">
        <f t="shared" si="6"/>
        <v>8</v>
      </c>
      <c r="E17" s="467" t="s">
        <v>286</v>
      </c>
      <c r="F17" s="472"/>
      <c r="G17" s="470">
        <v>4</v>
      </c>
      <c r="H17" s="470">
        <v>4</v>
      </c>
      <c r="I17" s="470">
        <v>0</v>
      </c>
      <c r="J17" s="470">
        <v>0</v>
      </c>
      <c r="K17" s="494">
        <v>405900</v>
      </c>
      <c r="L17" s="1007">
        <f t="shared" si="1"/>
        <v>3247200</v>
      </c>
      <c r="M17" s="1007">
        <f t="shared" si="2"/>
        <v>1623600</v>
      </c>
      <c r="N17" s="1007">
        <f t="shared" si="3"/>
        <v>1623600</v>
      </c>
      <c r="O17" s="1007">
        <f t="shared" si="4"/>
        <v>0</v>
      </c>
      <c r="P17" s="1007">
        <f t="shared" si="5"/>
        <v>0</v>
      </c>
      <c r="Q17" s="1207"/>
      <c r="R17" s="445"/>
      <c r="S17" s="445"/>
      <c r="T17" s="990">
        <f t="shared" si="0"/>
        <v>8</v>
      </c>
      <c r="U17" s="1008"/>
    </row>
    <row r="18" spans="1:21">
      <c r="A18" s="473">
        <v>14</v>
      </c>
      <c r="B18" s="466" t="s">
        <v>1968</v>
      </c>
      <c r="C18" s="466" t="s">
        <v>1969</v>
      </c>
      <c r="D18" s="470">
        <f t="shared" si="6"/>
        <v>8</v>
      </c>
      <c r="E18" s="467" t="s">
        <v>286</v>
      </c>
      <c r="F18" s="472"/>
      <c r="G18" s="470">
        <v>4</v>
      </c>
      <c r="H18" s="470">
        <v>4</v>
      </c>
      <c r="I18" s="470">
        <v>0</v>
      </c>
      <c r="J18" s="470">
        <v>0</v>
      </c>
      <c r="K18" s="494">
        <v>775720</v>
      </c>
      <c r="L18" s="1007">
        <f t="shared" si="1"/>
        <v>6205760</v>
      </c>
      <c r="M18" s="1007">
        <f t="shared" si="2"/>
        <v>3102880</v>
      </c>
      <c r="N18" s="1007">
        <f t="shared" si="3"/>
        <v>3102880</v>
      </c>
      <c r="O18" s="1007">
        <f t="shared" si="4"/>
        <v>0</v>
      </c>
      <c r="P18" s="1007">
        <f t="shared" si="5"/>
        <v>0</v>
      </c>
      <c r="Q18" s="1207"/>
      <c r="R18" s="445"/>
      <c r="S18" s="445"/>
      <c r="T18" s="990">
        <f t="shared" si="0"/>
        <v>8</v>
      </c>
      <c r="U18" s="1008"/>
    </row>
    <row r="19" spans="1:21" ht="18.75" customHeight="1">
      <c r="A19" s="1170" t="s">
        <v>1298</v>
      </c>
      <c r="B19" s="1170"/>
      <c r="C19" s="1170"/>
      <c r="D19" s="1170"/>
      <c r="E19" s="1170"/>
      <c r="F19" s="1170"/>
      <c r="G19" s="1170"/>
      <c r="H19" s="1170"/>
      <c r="I19" s="1170"/>
      <c r="J19" s="1170"/>
      <c r="K19" s="1170"/>
      <c r="L19" s="1007">
        <f>SUM(L20:L32)</f>
        <v>40821376.299999997</v>
      </c>
      <c r="M19" s="1007">
        <f>SUM(M20:M32)</f>
        <v>0</v>
      </c>
      <c r="N19" s="1007">
        <f>SUM(N20:N32)</f>
        <v>17429063.5</v>
      </c>
      <c r="O19" s="1007">
        <f>SUM(O20:O32)</f>
        <v>12262227.800000001</v>
      </c>
      <c r="P19" s="1007">
        <f>SUM(P20:P32)</f>
        <v>11130085</v>
      </c>
      <c r="R19" s="445"/>
      <c r="S19" s="445"/>
      <c r="T19" s="990"/>
      <c r="U19" s="1008"/>
    </row>
    <row r="20" spans="1:21">
      <c r="A20" s="473">
        <v>15</v>
      </c>
      <c r="B20" s="466" t="s">
        <v>1299</v>
      </c>
      <c r="C20" s="466" t="s">
        <v>1300</v>
      </c>
      <c r="D20" s="470">
        <v>8</v>
      </c>
      <c r="E20" s="467" t="s">
        <v>286</v>
      </c>
      <c r="F20" s="472"/>
      <c r="G20" s="470">
        <v>0</v>
      </c>
      <c r="H20" s="470">
        <v>4</v>
      </c>
      <c r="I20" s="470">
        <v>4</v>
      </c>
      <c r="J20" s="470">
        <v>0</v>
      </c>
      <c r="K20" s="494">
        <v>32032</v>
      </c>
      <c r="L20" s="1007">
        <f>K20*D20</f>
        <v>256256</v>
      </c>
      <c r="M20" s="1007">
        <f>K20*G20</f>
        <v>0</v>
      </c>
      <c r="N20" s="1007">
        <f>K20*H20</f>
        <v>128128</v>
      </c>
      <c r="O20" s="1007">
        <f>K20*I20</f>
        <v>128128</v>
      </c>
      <c r="P20" s="1007">
        <f>K20*J20</f>
        <v>0</v>
      </c>
      <c r="Q20" s="1204" t="s">
        <v>4227</v>
      </c>
      <c r="R20" s="445"/>
      <c r="S20" s="445"/>
      <c r="T20" s="990">
        <f t="shared" si="0"/>
        <v>8</v>
      </c>
      <c r="U20" s="1008"/>
    </row>
    <row r="21" spans="1:21">
      <c r="A21" s="473">
        <v>16</v>
      </c>
      <c r="B21" s="466" t="s">
        <v>1301</v>
      </c>
      <c r="C21" s="466" t="s">
        <v>1302</v>
      </c>
      <c r="D21" s="470">
        <v>20</v>
      </c>
      <c r="E21" s="467" t="s">
        <v>286</v>
      </c>
      <c r="F21" s="472"/>
      <c r="G21" s="470">
        <v>0</v>
      </c>
      <c r="H21" s="470">
        <v>10</v>
      </c>
      <c r="I21" s="470">
        <v>5</v>
      </c>
      <c r="J21" s="470">
        <v>5</v>
      </c>
      <c r="K21" s="494">
        <v>99792</v>
      </c>
      <c r="L21" s="1007">
        <f t="shared" ref="L21:L32" si="7">K21*D21</f>
        <v>1995840</v>
      </c>
      <c r="M21" s="1007">
        <f t="shared" ref="M21:M32" si="8">K21*G21</f>
        <v>0</v>
      </c>
      <c r="N21" s="1007">
        <f t="shared" ref="N21:N32" si="9">K21*H21</f>
        <v>997920</v>
      </c>
      <c r="O21" s="1007">
        <f t="shared" ref="O21:O32" si="10">K21*I21</f>
        <v>498960</v>
      </c>
      <c r="P21" s="1007">
        <f t="shared" ref="P21:P32" si="11">K21*J21</f>
        <v>498960</v>
      </c>
      <c r="Q21" s="1211"/>
      <c r="R21" s="445"/>
      <c r="S21" s="445"/>
      <c r="T21" s="990">
        <f t="shared" si="0"/>
        <v>20</v>
      </c>
      <c r="U21" s="1008"/>
    </row>
    <row r="22" spans="1:21">
      <c r="A22" s="473">
        <v>17</v>
      </c>
      <c r="B22" s="466" t="s">
        <v>1970</v>
      </c>
      <c r="C22" s="466" t="s">
        <v>1971</v>
      </c>
      <c r="D22" s="470">
        <f t="shared" ref="D22:D32" si="12">G22+H22+I22+J22</f>
        <v>8</v>
      </c>
      <c r="E22" s="467" t="s">
        <v>286</v>
      </c>
      <c r="F22" s="472"/>
      <c r="G22" s="470">
        <v>0</v>
      </c>
      <c r="H22" s="470">
        <v>4</v>
      </c>
      <c r="I22" s="470">
        <v>4</v>
      </c>
      <c r="J22" s="470">
        <v>0</v>
      </c>
      <c r="K22" s="494">
        <v>33264</v>
      </c>
      <c r="L22" s="1007">
        <f t="shared" si="7"/>
        <v>266112</v>
      </c>
      <c r="M22" s="1007">
        <f t="shared" si="8"/>
        <v>0</v>
      </c>
      <c r="N22" s="1007">
        <f t="shared" si="9"/>
        <v>133056</v>
      </c>
      <c r="O22" s="1007">
        <f t="shared" si="10"/>
        <v>133056</v>
      </c>
      <c r="P22" s="1007">
        <f t="shared" si="11"/>
        <v>0</v>
      </c>
      <c r="Q22" s="1211"/>
      <c r="R22" s="445"/>
      <c r="S22" s="445"/>
      <c r="T22" s="990">
        <f t="shared" si="0"/>
        <v>8</v>
      </c>
      <c r="U22" s="1008"/>
    </row>
    <row r="23" spans="1:21">
      <c r="A23" s="473">
        <v>18</v>
      </c>
      <c r="B23" s="498" t="s">
        <v>1972</v>
      </c>
      <c r="C23" s="498" t="s">
        <v>1973</v>
      </c>
      <c r="D23" s="492">
        <f t="shared" si="12"/>
        <v>8</v>
      </c>
      <c r="E23" s="467" t="s">
        <v>286</v>
      </c>
      <c r="F23" s="472"/>
      <c r="G23" s="470">
        <v>0</v>
      </c>
      <c r="H23" s="470">
        <v>2</v>
      </c>
      <c r="I23" s="470">
        <v>3</v>
      </c>
      <c r="J23" s="470">
        <v>3</v>
      </c>
      <c r="K23" s="494"/>
      <c r="L23" s="1007">
        <f t="shared" si="7"/>
        <v>0</v>
      </c>
      <c r="M23" s="1007">
        <f t="shared" si="8"/>
        <v>0</v>
      </c>
      <c r="N23" s="1007">
        <f t="shared" si="9"/>
        <v>0</v>
      </c>
      <c r="O23" s="1007">
        <f t="shared" si="10"/>
        <v>0</v>
      </c>
      <c r="P23" s="1007">
        <f t="shared" si="11"/>
        <v>0</v>
      </c>
      <c r="Q23" s="1211"/>
      <c r="R23" s="445"/>
      <c r="S23" s="445"/>
      <c r="T23" s="990">
        <f t="shared" si="0"/>
        <v>8</v>
      </c>
      <c r="U23" s="1008"/>
    </row>
    <row r="24" spans="1:21" ht="30">
      <c r="A24" s="473">
        <v>19</v>
      </c>
      <c r="B24" s="466" t="s">
        <v>1974</v>
      </c>
      <c r="C24" s="466" t="s">
        <v>1975</v>
      </c>
      <c r="D24" s="470">
        <f t="shared" si="12"/>
        <v>12</v>
      </c>
      <c r="E24" s="467" t="s">
        <v>286</v>
      </c>
      <c r="F24" s="472"/>
      <c r="G24" s="470">
        <v>0</v>
      </c>
      <c r="H24" s="470">
        <v>6</v>
      </c>
      <c r="I24" s="470">
        <v>6</v>
      </c>
      <c r="J24" s="470">
        <v>0</v>
      </c>
      <c r="K24" s="494">
        <v>38000</v>
      </c>
      <c r="L24" s="1007">
        <f t="shared" si="7"/>
        <v>456000</v>
      </c>
      <c r="M24" s="1007">
        <f t="shared" si="8"/>
        <v>0</v>
      </c>
      <c r="N24" s="1007">
        <f t="shared" si="9"/>
        <v>228000</v>
      </c>
      <c r="O24" s="1007">
        <f t="shared" si="10"/>
        <v>228000</v>
      </c>
      <c r="P24" s="1007">
        <f t="shared" si="11"/>
        <v>0</v>
      </c>
      <c r="Q24" s="1211"/>
      <c r="R24" s="445"/>
      <c r="S24" s="445"/>
      <c r="T24" s="990">
        <f t="shared" si="0"/>
        <v>12</v>
      </c>
      <c r="U24" s="1008"/>
    </row>
    <row r="25" spans="1:21">
      <c r="A25" s="473">
        <v>20</v>
      </c>
      <c r="B25" s="466" t="s">
        <v>1976</v>
      </c>
      <c r="C25" s="466" t="s">
        <v>1977</v>
      </c>
      <c r="D25" s="470">
        <f t="shared" si="12"/>
        <v>20</v>
      </c>
      <c r="E25" s="467" t="s">
        <v>286</v>
      </c>
      <c r="F25" s="472"/>
      <c r="G25" s="470">
        <v>0</v>
      </c>
      <c r="H25" s="470">
        <v>10</v>
      </c>
      <c r="I25" s="470">
        <v>5</v>
      </c>
      <c r="J25" s="470">
        <v>5</v>
      </c>
      <c r="K25" s="494">
        <v>155232</v>
      </c>
      <c r="L25" s="1007">
        <f t="shared" si="7"/>
        <v>3104640</v>
      </c>
      <c r="M25" s="1007">
        <f t="shared" si="8"/>
        <v>0</v>
      </c>
      <c r="N25" s="1007">
        <f t="shared" si="9"/>
        <v>1552320</v>
      </c>
      <c r="O25" s="1007">
        <f t="shared" si="10"/>
        <v>776160</v>
      </c>
      <c r="P25" s="1007">
        <f t="shared" si="11"/>
        <v>776160</v>
      </c>
      <c r="Q25" s="1211"/>
      <c r="R25" s="445"/>
      <c r="S25" s="445"/>
      <c r="T25" s="990">
        <f t="shared" si="0"/>
        <v>20</v>
      </c>
      <c r="U25" s="1008"/>
    </row>
    <row r="26" spans="1:21">
      <c r="A26" s="473">
        <v>21</v>
      </c>
      <c r="B26" s="466" t="s">
        <v>1978</v>
      </c>
      <c r="C26" s="466" t="s">
        <v>1979</v>
      </c>
      <c r="D26" s="470">
        <f t="shared" si="12"/>
        <v>16</v>
      </c>
      <c r="E26" s="467" t="s">
        <v>286</v>
      </c>
      <c r="F26" s="472"/>
      <c r="G26" s="470">
        <v>0</v>
      </c>
      <c r="H26" s="470">
        <v>4</v>
      </c>
      <c r="I26" s="470">
        <v>4</v>
      </c>
      <c r="J26" s="470">
        <v>8</v>
      </c>
      <c r="K26" s="494">
        <v>105952</v>
      </c>
      <c r="L26" s="1007">
        <f t="shared" si="7"/>
        <v>1695232</v>
      </c>
      <c r="M26" s="1007">
        <f t="shared" si="8"/>
        <v>0</v>
      </c>
      <c r="N26" s="1007">
        <f t="shared" si="9"/>
        <v>423808</v>
      </c>
      <c r="O26" s="1007">
        <f t="shared" si="10"/>
        <v>423808</v>
      </c>
      <c r="P26" s="1007">
        <f t="shared" si="11"/>
        <v>847616</v>
      </c>
      <c r="Q26" s="1211"/>
      <c r="R26" s="445"/>
      <c r="S26" s="445"/>
      <c r="T26" s="990">
        <f t="shared" si="0"/>
        <v>16</v>
      </c>
      <c r="U26" s="1008"/>
    </row>
    <row r="27" spans="1:21" ht="15" customHeight="1">
      <c r="A27" s="473">
        <v>22</v>
      </c>
      <c r="B27" s="466" t="s">
        <v>1980</v>
      </c>
      <c r="C27" s="466" t="s">
        <v>1243</v>
      </c>
      <c r="D27" s="470">
        <f t="shared" si="12"/>
        <v>40</v>
      </c>
      <c r="E27" s="467" t="s">
        <v>286</v>
      </c>
      <c r="F27" s="472"/>
      <c r="G27" s="470">
        <v>0</v>
      </c>
      <c r="H27" s="470">
        <v>20</v>
      </c>
      <c r="I27" s="470">
        <v>10</v>
      </c>
      <c r="J27" s="470">
        <v>10</v>
      </c>
      <c r="K27" s="494">
        <v>278432</v>
      </c>
      <c r="L27" s="1007">
        <f t="shared" si="7"/>
        <v>11137280</v>
      </c>
      <c r="M27" s="1007">
        <f t="shared" si="8"/>
        <v>0</v>
      </c>
      <c r="N27" s="1007">
        <f t="shared" si="9"/>
        <v>5568640</v>
      </c>
      <c r="O27" s="1007">
        <f t="shared" si="10"/>
        <v>2784320</v>
      </c>
      <c r="P27" s="1007">
        <f t="shared" si="11"/>
        <v>2784320</v>
      </c>
      <c r="Q27" s="1211"/>
      <c r="R27" s="445"/>
      <c r="S27" s="445"/>
      <c r="T27" s="990">
        <f t="shared" si="0"/>
        <v>40</v>
      </c>
      <c r="U27" s="1008"/>
    </row>
    <row r="28" spans="1:21" ht="15" customHeight="1">
      <c r="A28" s="473">
        <v>23</v>
      </c>
      <c r="B28" s="466" t="s">
        <v>1981</v>
      </c>
      <c r="C28" s="466" t="s">
        <v>1244</v>
      </c>
      <c r="D28" s="470">
        <f t="shared" si="12"/>
        <v>10</v>
      </c>
      <c r="E28" s="467" t="s">
        <v>286</v>
      </c>
      <c r="F28" s="472"/>
      <c r="G28" s="470">
        <v>0</v>
      </c>
      <c r="H28" s="470">
        <v>4</v>
      </c>
      <c r="I28" s="470">
        <v>3</v>
      </c>
      <c r="J28" s="470">
        <v>3</v>
      </c>
      <c r="K28" s="494">
        <v>88704</v>
      </c>
      <c r="L28" s="1007">
        <f t="shared" si="7"/>
        <v>887040</v>
      </c>
      <c r="M28" s="1007">
        <f t="shared" si="8"/>
        <v>0</v>
      </c>
      <c r="N28" s="1007">
        <f t="shared" si="9"/>
        <v>354816</v>
      </c>
      <c r="O28" s="1007">
        <f t="shared" si="10"/>
        <v>266112</v>
      </c>
      <c r="P28" s="1007">
        <f t="shared" si="11"/>
        <v>266112</v>
      </c>
      <c r="Q28" s="1211"/>
      <c r="R28" s="445"/>
      <c r="S28" s="445"/>
      <c r="T28" s="990">
        <f t="shared" si="0"/>
        <v>10</v>
      </c>
      <c r="U28" s="1008"/>
    </row>
    <row r="29" spans="1:21" ht="60">
      <c r="A29" s="473">
        <v>24</v>
      </c>
      <c r="B29" s="466" t="s">
        <v>1982</v>
      </c>
      <c r="C29" s="466" t="s">
        <v>1983</v>
      </c>
      <c r="D29" s="470">
        <f t="shared" si="12"/>
        <v>64</v>
      </c>
      <c r="E29" s="467" t="s">
        <v>286</v>
      </c>
      <c r="F29" s="472"/>
      <c r="G29" s="470">
        <v>0</v>
      </c>
      <c r="H29" s="470">
        <v>24</v>
      </c>
      <c r="I29" s="470">
        <v>18</v>
      </c>
      <c r="J29" s="470">
        <v>22</v>
      </c>
      <c r="K29" s="494">
        <v>94000</v>
      </c>
      <c r="L29" s="1007">
        <f t="shared" si="7"/>
        <v>6016000</v>
      </c>
      <c r="M29" s="1007">
        <f t="shared" si="8"/>
        <v>0</v>
      </c>
      <c r="N29" s="1007">
        <f t="shared" si="9"/>
        <v>2256000</v>
      </c>
      <c r="O29" s="1007">
        <f t="shared" si="10"/>
        <v>1692000</v>
      </c>
      <c r="P29" s="1007">
        <f t="shared" si="11"/>
        <v>2068000</v>
      </c>
      <c r="Q29" s="1211"/>
      <c r="R29" s="445"/>
      <c r="S29" s="445"/>
      <c r="T29" s="990">
        <f t="shared" si="0"/>
        <v>64</v>
      </c>
      <c r="U29" s="1008"/>
    </row>
    <row r="30" spans="1:21">
      <c r="A30" s="473">
        <v>25</v>
      </c>
      <c r="B30" s="466" t="s">
        <v>1984</v>
      </c>
      <c r="C30" s="466" t="s">
        <v>1985</v>
      </c>
      <c r="D30" s="470">
        <f t="shared" si="12"/>
        <v>20</v>
      </c>
      <c r="E30" s="467" t="s">
        <v>286</v>
      </c>
      <c r="F30" s="472"/>
      <c r="G30" s="470">
        <v>0</v>
      </c>
      <c r="H30" s="470">
        <v>8</v>
      </c>
      <c r="I30" s="470">
        <v>6</v>
      </c>
      <c r="J30" s="470">
        <v>6</v>
      </c>
      <c r="K30" s="494">
        <v>47000</v>
      </c>
      <c r="L30" s="1007">
        <f t="shared" si="7"/>
        <v>940000</v>
      </c>
      <c r="M30" s="1007">
        <f t="shared" si="8"/>
        <v>0</v>
      </c>
      <c r="N30" s="1007">
        <f t="shared" si="9"/>
        <v>376000</v>
      </c>
      <c r="O30" s="1007">
        <f t="shared" si="10"/>
        <v>282000</v>
      </c>
      <c r="P30" s="1007">
        <f t="shared" si="11"/>
        <v>282000</v>
      </c>
      <c r="Q30" s="1211"/>
      <c r="R30" s="445"/>
      <c r="S30" s="445"/>
      <c r="T30" s="990">
        <f t="shared" si="0"/>
        <v>20</v>
      </c>
      <c r="U30" s="1008"/>
    </row>
    <row r="31" spans="1:21">
      <c r="A31" s="473">
        <v>26</v>
      </c>
      <c r="B31" s="466" t="s">
        <v>1986</v>
      </c>
      <c r="C31" s="466" t="s">
        <v>1987</v>
      </c>
      <c r="D31" s="470">
        <f t="shared" si="12"/>
        <v>78</v>
      </c>
      <c r="E31" s="467" t="s">
        <v>286</v>
      </c>
      <c r="F31" s="472"/>
      <c r="G31" s="470">
        <v>0</v>
      </c>
      <c r="H31" s="470">
        <v>30</v>
      </c>
      <c r="I31" s="470">
        <v>28</v>
      </c>
      <c r="J31" s="470">
        <v>20</v>
      </c>
      <c r="K31" s="494">
        <v>180345.85</v>
      </c>
      <c r="L31" s="1007">
        <f t="shared" si="7"/>
        <v>14066976.300000001</v>
      </c>
      <c r="M31" s="1007">
        <f t="shared" si="8"/>
        <v>0</v>
      </c>
      <c r="N31" s="1007">
        <f t="shared" si="9"/>
        <v>5410375.5</v>
      </c>
      <c r="O31" s="1007">
        <f t="shared" si="10"/>
        <v>5049683.8</v>
      </c>
      <c r="P31" s="1007">
        <f t="shared" si="11"/>
        <v>3606917</v>
      </c>
      <c r="Q31" s="1211"/>
      <c r="R31" s="445"/>
      <c r="S31" s="445"/>
      <c r="T31" s="990">
        <f t="shared" si="0"/>
        <v>78</v>
      </c>
      <c r="U31" s="1008"/>
    </row>
    <row r="32" spans="1:21">
      <c r="A32" s="473">
        <v>27</v>
      </c>
      <c r="B32" s="498" t="s">
        <v>1988</v>
      </c>
      <c r="C32" s="498" t="s">
        <v>1989</v>
      </c>
      <c r="D32" s="492">
        <f t="shared" si="12"/>
        <v>16</v>
      </c>
      <c r="E32" s="467" t="s">
        <v>286</v>
      </c>
      <c r="F32" s="472"/>
      <c r="G32" s="470">
        <v>0</v>
      </c>
      <c r="H32" s="470">
        <v>8</v>
      </c>
      <c r="I32" s="470">
        <v>6</v>
      </c>
      <c r="J32" s="470">
        <v>2</v>
      </c>
      <c r="K32" s="461"/>
      <c r="L32" s="1007">
        <f t="shared" si="7"/>
        <v>0</v>
      </c>
      <c r="M32" s="1007">
        <f t="shared" si="8"/>
        <v>0</v>
      </c>
      <c r="N32" s="1007">
        <f t="shared" si="9"/>
        <v>0</v>
      </c>
      <c r="O32" s="1007">
        <f t="shared" si="10"/>
        <v>0</v>
      </c>
      <c r="P32" s="1007">
        <f t="shared" si="11"/>
        <v>0</v>
      </c>
      <c r="Q32" s="1211"/>
      <c r="R32" s="445"/>
      <c r="S32" s="445"/>
      <c r="T32" s="990">
        <f t="shared" si="0"/>
        <v>16</v>
      </c>
      <c r="U32" s="1008"/>
    </row>
    <row r="33" spans="1:21" ht="18.75" customHeight="1">
      <c r="A33" s="1170" t="s">
        <v>1303</v>
      </c>
      <c r="B33" s="1170"/>
      <c r="C33" s="1170"/>
      <c r="D33" s="1170"/>
      <c r="E33" s="1170"/>
      <c r="F33" s="1170"/>
      <c r="G33" s="1170"/>
      <c r="H33" s="1170"/>
      <c r="I33" s="1170"/>
      <c r="J33" s="1170"/>
      <c r="K33" s="1170"/>
      <c r="L33" s="1007">
        <f>SUM(L34:L169)</f>
        <v>17811360857.010994</v>
      </c>
      <c r="M33" s="1007">
        <f>SUM(M34:M169)</f>
        <v>0</v>
      </c>
      <c r="N33" s="1007">
        <f>SUM(N34:N169)</f>
        <v>10163126188.519001</v>
      </c>
      <c r="O33" s="1007">
        <f>SUM(O34:O169)</f>
        <v>5581727083.6860018</v>
      </c>
      <c r="P33" s="1007">
        <f>SUM(P34:P169)</f>
        <v>2066507584.806</v>
      </c>
      <c r="R33" s="445"/>
      <c r="S33" s="445"/>
      <c r="T33" s="990"/>
      <c r="U33" s="1008"/>
    </row>
    <row r="34" spans="1:21" ht="15.75">
      <c r="A34" s="473">
        <v>28</v>
      </c>
      <c r="B34" s="466" t="s">
        <v>1304</v>
      </c>
      <c r="C34" s="819">
        <v>63300166</v>
      </c>
      <c r="D34" s="470">
        <v>5</v>
      </c>
      <c r="E34" s="819" t="s">
        <v>1305</v>
      </c>
      <c r="F34" s="473"/>
      <c r="G34" s="470"/>
      <c r="H34" s="470">
        <v>2</v>
      </c>
      <c r="I34" s="470">
        <v>2</v>
      </c>
      <c r="J34" s="470">
        <v>1</v>
      </c>
      <c r="K34" s="488">
        <v>151070652.15000001</v>
      </c>
      <c r="L34" s="1007">
        <f>K34*D34</f>
        <v>755353260.75</v>
      </c>
      <c r="M34" s="1007">
        <f>K34*G34</f>
        <v>0</v>
      </c>
      <c r="N34" s="1007">
        <f>K34*H34</f>
        <v>302141304.30000001</v>
      </c>
      <c r="O34" s="1007">
        <f>K34*I34</f>
        <v>302141304.30000001</v>
      </c>
      <c r="P34" s="1007">
        <f>K34*J34</f>
        <v>151070652.15000001</v>
      </c>
      <c r="Q34" s="1206" t="s">
        <v>4235</v>
      </c>
      <c r="R34" s="1201" t="s">
        <v>4879</v>
      </c>
      <c r="S34" s="470">
        <v>2</v>
      </c>
      <c r="T34" s="991">
        <f>G34+H34+I34+J34-S34</f>
        <v>3</v>
      </c>
      <c r="U34" s="1008">
        <v>28775349.66</v>
      </c>
    </row>
    <row r="35" spans="1:21" ht="15.75">
      <c r="A35" s="473">
        <v>29</v>
      </c>
      <c r="B35" s="819" t="s">
        <v>1306</v>
      </c>
      <c r="C35" s="819">
        <v>63300197</v>
      </c>
      <c r="D35" s="470">
        <v>1</v>
      </c>
      <c r="E35" s="819" t="s">
        <v>1305</v>
      </c>
      <c r="F35" s="819" t="s">
        <v>1990</v>
      </c>
      <c r="G35" s="470"/>
      <c r="H35" s="470">
        <v>1</v>
      </c>
      <c r="I35" s="470"/>
      <c r="J35" s="470"/>
      <c r="K35" s="487">
        <v>18778299.52</v>
      </c>
      <c r="L35" s="1007">
        <f t="shared" ref="L35:L98" si="13">K35*D35</f>
        <v>18778299.52</v>
      </c>
      <c r="M35" s="1007">
        <f t="shared" ref="M35:M98" si="14">K35*G35</f>
        <v>0</v>
      </c>
      <c r="N35" s="1007">
        <f t="shared" ref="N35:N98" si="15">K35*H35</f>
        <v>18778299.52</v>
      </c>
      <c r="O35" s="1007">
        <f t="shared" ref="O35:O98" si="16">K35*I35</f>
        <v>0</v>
      </c>
      <c r="P35" s="1007">
        <f t="shared" ref="P35:P98" si="17">K35*J35</f>
        <v>0</v>
      </c>
      <c r="Q35" s="1207"/>
      <c r="R35" s="1202"/>
      <c r="S35" s="470">
        <v>1</v>
      </c>
      <c r="T35" s="991">
        <f t="shared" ref="T35:T98" si="18">G35+H35+I35+J35-S35</f>
        <v>0</v>
      </c>
      <c r="U35" s="1008">
        <v>16934814.789999999</v>
      </c>
    </row>
    <row r="36" spans="1:21" ht="30">
      <c r="A36" s="473">
        <v>30</v>
      </c>
      <c r="B36" s="819" t="s">
        <v>1307</v>
      </c>
      <c r="C36" s="819">
        <v>63300161</v>
      </c>
      <c r="D36" s="470">
        <v>1</v>
      </c>
      <c r="E36" s="819" t="s">
        <v>1305</v>
      </c>
      <c r="F36" s="473"/>
      <c r="G36" s="470"/>
      <c r="H36" s="470">
        <v>1</v>
      </c>
      <c r="I36" s="470"/>
      <c r="J36" s="470"/>
      <c r="K36" s="488">
        <v>15861778.890000001</v>
      </c>
      <c r="L36" s="1007">
        <f t="shared" si="13"/>
        <v>15861778.890000001</v>
      </c>
      <c r="M36" s="1007">
        <f t="shared" si="14"/>
        <v>0</v>
      </c>
      <c r="N36" s="1007">
        <f t="shared" si="15"/>
        <v>15861778.890000001</v>
      </c>
      <c r="O36" s="1007">
        <f t="shared" si="16"/>
        <v>0</v>
      </c>
      <c r="P36" s="1007">
        <f t="shared" si="17"/>
        <v>0</v>
      </c>
      <c r="Q36" s="1207"/>
      <c r="R36" s="1202"/>
      <c r="S36" s="470">
        <v>1</v>
      </c>
      <c r="T36" s="991">
        <f t="shared" si="18"/>
        <v>0</v>
      </c>
      <c r="U36" s="1008">
        <v>13764368.029999999</v>
      </c>
    </row>
    <row r="37" spans="1:21" ht="15.75">
      <c r="A37" s="473">
        <v>31</v>
      </c>
      <c r="B37" s="466" t="s">
        <v>1308</v>
      </c>
      <c r="C37" s="819">
        <v>63300157</v>
      </c>
      <c r="D37" s="470">
        <v>7</v>
      </c>
      <c r="E37" s="819" t="s">
        <v>1305</v>
      </c>
      <c r="F37" s="819" t="s">
        <v>1991</v>
      </c>
      <c r="G37" s="470"/>
      <c r="H37" s="470">
        <v>3</v>
      </c>
      <c r="I37" s="470">
        <v>2</v>
      </c>
      <c r="J37" s="470">
        <v>2</v>
      </c>
      <c r="K37" s="488">
        <v>57230321.572999999</v>
      </c>
      <c r="L37" s="1007">
        <f t="shared" si="13"/>
        <v>400612251.01099998</v>
      </c>
      <c r="M37" s="1007">
        <f t="shared" si="14"/>
        <v>0</v>
      </c>
      <c r="N37" s="1007">
        <f t="shared" si="15"/>
        <v>171690964.71899998</v>
      </c>
      <c r="O37" s="1007">
        <f t="shared" si="16"/>
        <v>114460643.146</v>
      </c>
      <c r="P37" s="1007">
        <f t="shared" si="17"/>
        <v>114460643.146</v>
      </c>
      <c r="Q37" s="1207"/>
      <c r="R37" s="1202"/>
      <c r="S37" s="470">
        <v>3</v>
      </c>
      <c r="T37" s="991">
        <f t="shared" si="18"/>
        <v>4</v>
      </c>
      <c r="U37" s="1008">
        <v>154835888.34</v>
      </c>
    </row>
    <row r="38" spans="1:21" ht="15.75">
      <c r="A38" s="473">
        <v>32</v>
      </c>
      <c r="B38" s="466" t="s">
        <v>1309</v>
      </c>
      <c r="C38" s="819">
        <v>63300158</v>
      </c>
      <c r="D38" s="470">
        <v>5</v>
      </c>
      <c r="E38" s="819" t="s">
        <v>1305</v>
      </c>
      <c r="F38" s="819" t="s">
        <v>1990</v>
      </c>
      <c r="G38" s="470"/>
      <c r="H38" s="470">
        <v>2</v>
      </c>
      <c r="I38" s="470">
        <v>2</v>
      </c>
      <c r="J38" s="470">
        <v>1</v>
      </c>
      <c r="K38" s="488">
        <v>106990256.95</v>
      </c>
      <c r="L38" s="1007">
        <f t="shared" si="13"/>
        <v>534951284.75</v>
      </c>
      <c r="M38" s="1007">
        <f t="shared" si="14"/>
        <v>0</v>
      </c>
      <c r="N38" s="1007">
        <f t="shared" si="15"/>
        <v>213980513.90000001</v>
      </c>
      <c r="O38" s="1007">
        <f t="shared" si="16"/>
        <v>213980513.90000001</v>
      </c>
      <c r="P38" s="1007">
        <f t="shared" si="17"/>
        <v>106990256.95</v>
      </c>
      <c r="Q38" s="1207"/>
      <c r="R38" s="1202"/>
      <c r="S38" s="470">
        <v>2</v>
      </c>
      <c r="T38" s="991">
        <f t="shared" si="18"/>
        <v>3</v>
      </c>
      <c r="U38" s="1008">
        <v>186973829.53999999</v>
      </c>
    </row>
    <row r="39" spans="1:21" ht="15.75">
      <c r="A39" s="473">
        <v>33</v>
      </c>
      <c r="B39" s="466" t="s">
        <v>1310</v>
      </c>
      <c r="C39" s="819">
        <v>63300159</v>
      </c>
      <c r="D39" s="470">
        <v>5</v>
      </c>
      <c r="E39" s="819" t="s">
        <v>1305</v>
      </c>
      <c r="F39" s="819" t="s">
        <v>1991</v>
      </c>
      <c r="G39" s="470"/>
      <c r="H39" s="470">
        <v>2</v>
      </c>
      <c r="I39" s="470">
        <v>2</v>
      </c>
      <c r="J39" s="470">
        <v>1</v>
      </c>
      <c r="K39" s="488">
        <v>13022008.800000001</v>
      </c>
      <c r="L39" s="1007">
        <f t="shared" si="13"/>
        <v>65110044</v>
      </c>
      <c r="M39" s="1007">
        <f t="shared" si="14"/>
        <v>0</v>
      </c>
      <c r="N39" s="1007">
        <f t="shared" si="15"/>
        <v>26044017.600000001</v>
      </c>
      <c r="O39" s="1007">
        <f t="shared" si="16"/>
        <v>26044017.600000001</v>
      </c>
      <c r="P39" s="1007">
        <f t="shared" si="17"/>
        <v>13022008.800000001</v>
      </c>
      <c r="Q39" s="1207"/>
      <c r="R39" s="1202"/>
      <c r="S39" s="470">
        <v>2</v>
      </c>
      <c r="T39" s="991">
        <f t="shared" si="18"/>
        <v>3</v>
      </c>
      <c r="U39" s="1008">
        <v>23487429.940000001</v>
      </c>
    </row>
    <row r="40" spans="1:21" ht="15.75">
      <c r="A40" s="473">
        <v>34</v>
      </c>
      <c r="B40" s="466" t="s">
        <v>1311</v>
      </c>
      <c r="C40" s="819">
        <v>63300236</v>
      </c>
      <c r="D40" s="470">
        <v>2</v>
      </c>
      <c r="E40" s="819" t="s">
        <v>1305</v>
      </c>
      <c r="F40" s="473"/>
      <c r="G40" s="470"/>
      <c r="H40" s="470">
        <v>1</v>
      </c>
      <c r="I40" s="470">
        <v>1</v>
      </c>
      <c r="J40" s="470"/>
      <c r="K40" s="488">
        <v>189625008.25999999</v>
      </c>
      <c r="L40" s="1007">
        <f t="shared" si="13"/>
        <v>379250016.51999998</v>
      </c>
      <c r="M40" s="1007">
        <f t="shared" si="14"/>
        <v>0</v>
      </c>
      <c r="N40" s="1007">
        <f t="shared" si="15"/>
        <v>189625008.25999999</v>
      </c>
      <c r="O40" s="1007">
        <f t="shared" si="16"/>
        <v>189625008.25999999</v>
      </c>
      <c r="P40" s="1007">
        <f t="shared" si="17"/>
        <v>0</v>
      </c>
      <c r="Q40" s="1207"/>
      <c r="R40" s="1202"/>
      <c r="S40" s="470">
        <v>1</v>
      </c>
      <c r="T40" s="991">
        <f t="shared" si="18"/>
        <v>1</v>
      </c>
      <c r="U40" s="1008">
        <v>171009328.62</v>
      </c>
    </row>
    <row r="41" spans="1:21" ht="15.75">
      <c r="A41" s="473">
        <v>35</v>
      </c>
      <c r="B41" s="466" t="s">
        <v>1992</v>
      </c>
      <c r="C41" s="819">
        <v>64400176</v>
      </c>
      <c r="D41" s="470">
        <v>1</v>
      </c>
      <c r="E41" s="819" t="s">
        <v>1305</v>
      </c>
      <c r="F41" s="473"/>
      <c r="G41" s="470"/>
      <c r="H41" s="470">
        <v>1</v>
      </c>
      <c r="I41" s="470"/>
      <c r="J41" s="470"/>
      <c r="K41" s="488">
        <v>253865212.75999999</v>
      </c>
      <c r="L41" s="1007">
        <f t="shared" si="13"/>
        <v>253865212.75999999</v>
      </c>
      <c r="M41" s="1007">
        <f t="shared" si="14"/>
        <v>0</v>
      </c>
      <c r="N41" s="1007">
        <f t="shared" si="15"/>
        <v>253865212.75999999</v>
      </c>
      <c r="O41" s="1007">
        <f t="shared" si="16"/>
        <v>0</v>
      </c>
      <c r="P41" s="1007">
        <f t="shared" si="17"/>
        <v>0</v>
      </c>
      <c r="Q41" s="1207"/>
      <c r="R41" s="1202"/>
      <c r="S41" s="470">
        <v>1</v>
      </c>
      <c r="T41" s="991">
        <f t="shared" si="18"/>
        <v>0</v>
      </c>
      <c r="U41" s="1008">
        <v>228943007</v>
      </c>
    </row>
    <row r="42" spans="1:21" ht="15.75">
      <c r="A42" s="473">
        <v>36</v>
      </c>
      <c r="B42" s="819" t="s">
        <v>1312</v>
      </c>
      <c r="C42" s="819">
        <v>64400175</v>
      </c>
      <c r="D42" s="470">
        <v>1</v>
      </c>
      <c r="E42" s="819" t="s">
        <v>1305</v>
      </c>
      <c r="F42" s="473"/>
      <c r="G42" s="470"/>
      <c r="H42" s="470">
        <v>1</v>
      </c>
      <c r="I42" s="470"/>
      <c r="J42" s="470"/>
      <c r="K42" s="488">
        <v>288454124.13999999</v>
      </c>
      <c r="L42" s="1007">
        <f t="shared" si="13"/>
        <v>288454124.13999999</v>
      </c>
      <c r="M42" s="1007">
        <f t="shared" si="14"/>
        <v>0</v>
      </c>
      <c r="N42" s="1007">
        <f t="shared" si="15"/>
        <v>288454124.13999999</v>
      </c>
      <c r="O42" s="1007">
        <f t="shared" si="16"/>
        <v>0</v>
      </c>
      <c r="P42" s="1007">
        <f t="shared" si="17"/>
        <v>0</v>
      </c>
      <c r="Q42" s="1207"/>
      <c r="R42" s="1202"/>
      <c r="S42" s="470">
        <v>1</v>
      </c>
      <c r="T42" s="991">
        <f t="shared" si="18"/>
        <v>0</v>
      </c>
      <c r="U42" s="1008">
        <v>260136289</v>
      </c>
    </row>
    <row r="43" spans="1:21" ht="15.75">
      <c r="A43" s="473">
        <v>37</v>
      </c>
      <c r="B43" s="819" t="s">
        <v>1313</v>
      </c>
      <c r="C43" s="819">
        <v>64400149</v>
      </c>
      <c r="D43" s="470">
        <v>12</v>
      </c>
      <c r="E43" s="819" t="s">
        <v>1314</v>
      </c>
      <c r="F43" s="473"/>
      <c r="G43" s="470"/>
      <c r="H43" s="470">
        <v>12</v>
      </c>
      <c r="I43" s="470"/>
      <c r="J43" s="470"/>
      <c r="K43" s="488">
        <v>10591574.939999999</v>
      </c>
      <c r="L43" s="1007">
        <f t="shared" si="13"/>
        <v>127098899.28</v>
      </c>
      <c r="M43" s="1007">
        <f t="shared" si="14"/>
        <v>0</v>
      </c>
      <c r="N43" s="1007">
        <f t="shared" si="15"/>
        <v>127098899.28</v>
      </c>
      <c r="O43" s="1007">
        <f t="shared" si="16"/>
        <v>0</v>
      </c>
      <c r="P43" s="1007">
        <f t="shared" si="17"/>
        <v>0</v>
      </c>
      <c r="Q43" s="1207"/>
      <c r="R43" s="1202"/>
      <c r="S43" s="470">
        <v>12</v>
      </c>
      <c r="T43" s="991">
        <f t="shared" si="18"/>
        <v>0</v>
      </c>
      <c r="U43" s="1008">
        <v>114621468</v>
      </c>
    </row>
    <row r="44" spans="1:21" ht="15.75">
      <c r="A44" s="473">
        <v>38</v>
      </c>
      <c r="B44" s="819" t="s">
        <v>1315</v>
      </c>
      <c r="C44" s="819">
        <v>63400379</v>
      </c>
      <c r="D44" s="470">
        <v>12</v>
      </c>
      <c r="E44" s="819" t="s">
        <v>1314</v>
      </c>
      <c r="F44" s="473"/>
      <c r="G44" s="470"/>
      <c r="H44" s="470">
        <v>12</v>
      </c>
      <c r="I44" s="470"/>
      <c r="J44" s="470"/>
      <c r="K44" s="488">
        <v>2276932.7799999998</v>
      </c>
      <c r="L44" s="1007">
        <f t="shared" si="13"/>
        <v>27323193.359999999</v>
      </c>
      <c r="M44" s="1007">
        <f t="shared" si="14"/>
        <v>0</v>
      </c>
      <c r="N44" s="1007">
        <f t="shared" si="15"/>
        <v>27323193.359999999</v>
      </c>
      <c r="O44" s="1007">
        <f t="shared" si="16"/>
        <v>0</v>
      </c>
      <c r="P44" s="1007">
        <f t="shared" si="17"/>
        <v>0</v>
      </c>
      <c r="Q44" s="1207"/>
      <c r="R44" s="1202"/>
      <c r="S44" s="470">
        <v>12</v>
      </c>
      <c r="T44" s="991">
        <f t="shared" si="18"/>
        <v>0</v>
      </c>
      <c r="U44" s="1008">
        <v>24640847.84</v>
      </c>
    </row>
    <row r="45" spans="1:21" ht="15.75">
      <c r="A45" s="473">
        <v>39</v>
      </c>
      <c r="B45" s="819" t="s">
        <v>1315</v>
      </c>
      <c r="C45" s="819">
        <v>63400344</v>
      </c>
      <c r="D45" s="470">
        <v>20</v>
      </c>
      <c r="E45" s="819" t="s">
        <v>1314</v>
      </c>
      <c r="F45" s="473"/>
      <c r="G45" s="470"/>
      <c r="H45" s="470">
        <v>20</v>
      </c>
      <c r="I45" s="470"/>
      <c r="J45" s="470"/>
      <c r="K45" s="488">
        <v>639587.86</v>
      </c>
      <c r="L45" s="1007">
        <f t="shared" si="13"/>
        <v>12791757.199999999</v>
      </c>
      <c r="M45" s="1007">
        <f t="shared" si="14"/>
        <v>0</v>
      </c>
      <c r="N45" s="1007">
        <f t="shared" si="15"/>
        <v>12791757.199999999</v>
      </c>
      <c r="O45" s="1007">
        <f t="shared" si="16"/>
        <v>0</v>
      </c>
      <c r="P45" s="1007">
        <f t="shared" si="17"/>
        <v>0</v>
      </c>
      <c r="Q45" s="1207"/>
      <c r="R45" s="1202"/>
      <c r="S45" s="470">
        <v>20</v>
      </c>
      <c r="T45" s="991">
        <f t="shared" si="18"/>
        <v>0</v>
      </c>
      <c r="U45" s="1008">
        <v>11535977.4</v>
      </c>
    </row>
    <row r="46" spans="1:21" ht="15.75">
      <c r="A46" s="473">
        <v>40</v>
      </c>
      <c r="B46" s="819" t="s">
        <v>1316</v>
      </c>
      <c r="C46" s="468">
        <v>63400345</v>
      </c>
      <c r="D46" s="470">
        <v>20</v>
      </c>
      <c r="E46" s="819" t="s">
        <v>1314</v>
      </c>
      <c r="F46" s="473"/>
      <c r="G46" s="470"/>
      <c r="H46" s="470">
        <v>20</v>
      </c>
      <c r="I46" s="470"/>
      <c r="J46" s="470"/>
      <c r="K46" s="488">
        <v>1202425.17</v>
      </c>
      <c r="L46" s="1007">
        <f t="shared" si="13"/>
        <v>24048503.399999999</v>
      </c>
      <c r="M46" s="1007">
        <f t="shared" si="14"/>
        <v>0</v>
      </c>
      <c r="N46" s="1007">
        <f t="shared" si="15"/>
        <v>24048503.399999999</v>
      </c>
      <c r="O46" s="1007">
        <f t="shared" si="16"/>
        <v>0</v>
      </c>
      <c r="P46" s="1007">
        <f t="shared" si="17"/>
        <v>0</v>
      </c>
      <c r="Q46" s="1207"/>
      <c r="R46" s="1202"/>
      <c r="S46" s="470">
        <v>20</v>
      </c>
      <c r="T46" s="991">
        <f t="shared" si="18"/>
        <v>0</v>
      </c>
      <c r="U46" s="1008">
        <v>21687637.399999999</v>
      </c>
    </row>
    <row r="47" spans="1:21" ht="15.75">
      <c r="A47" s="473">
        <v>41</v>
      </c>
      <c r="B47" s="819" t="s">
        <v>1317</v>
      </c>
      <c r="C47" s="468">
        <v>63400346</v>
      </c>
      <c r="D47" s="470">
        <v>20</v>
      </c>
      <c r="E47" s="819" t="s">
        <v>1314</v>
      </c>
      <c r="F47" s="473"/>
      <c r="G47" s="470"/>
      <c r="H47" s="470">
        <v>20</v>
      </c>
      <c r="I47" s="470"/>
      <c r="J47" s="470"/>
      <c r="K47" s="488">
        <v>639587.86</v>
      </c>
      <c r="L47" s="1007">
        <f t="shared" si="13"/>
        <v>12791757.199999999</v>
      </c>
      <c r="M47" s="1007">
        <f t="shared" si="14"/>
        <v>0</v>
      </c>
      <c r="N47" s="1007">
        <f t="shared" si="15"/>
        <v>12791757.199999999</v>
      </c>
      <c r="O47" s="1007">
        <f t="shared" si="16"/>
        <v>0</v>
      </c>
      <c r="P47" s="1007">
        <f t="shared" si="17"/>
        <v>0</v>
      </c>
      <c r="Q47" s="1207"/>
      <c r="R47" s="1202"/>
      <c r="S47" s="470">
        <v>20</v>
      </c>
      <c r="T47" s="991">
        <f t="shared" si="18"/>
        <v>0</v>
      </c>
      <c r="U47" s="1008">
        <v>22535977.399999999</v>
      </c>
    </row>
    <row r="48" spans="1:21" ht="15.75">
      <c r="A48" s="473">
        <v>42</v>
      </c>
      <c r="B48" s="819" t="s">
        <v>1318</v>
      </c>
      <c r="C48" s="819">
        <v>63400343</v>
      </c>
      <c r="D48" s="470">
        <v>10</v>
      </c>
      <c r="E48" s="819" t="s">
        <v>1314</v>
      </c>
      <c r="F48" s="473"/>
      <c r="G48" s="470"/>
      <c r="H48" s="470"/>
      <c r="I48" s="470">
        <v>10</v>
      </c>
      <c r="J48" s="470"/>
      <c r="K48" s="488">
        <v>142414.9</v>
      </c>
      <c r="L48" s="1007">
        <f t="shared" si="13"/>
        <v>1424149</v>
      </c>
      <c r="M48" s="1007">
        <f t="shared" si="14"/>
        <v>0</v>
      </c>
      <c r="N48" s="1007">
        <f t="shared" si="15"/>
        <v>0</v>
      </c>
      <c r="O48" s="1007">
        <f t="shared" si="16"/>
        <v>1424149</v>
      </c>
      <c r="P48" s="1007">
        <f t="shared" si="17"/>
        <v>0</v>
      </c>
      <c r="Q48" s="1207"/>
      <c r="R48" s="1202"/>
      <c r="S48" s="470"/>
      <c r="T48" s="991">
        <f t="shared" si="18"/>
        <v>10</v>
      </c>
      <c r="U48" s="1008"/>
    </row>
    <row r="49" spans="1:21" ht="15.75">
      <c r="A49" s="473">
        <v>43</v>
      </c>
      <c r="B49" s="819" t="s">
        <v>1319</v>
      </c>
      <c r="C49" s="819">
        <v>63400293</v>
      </c>
      <c r="D49" s="470">
        <v>10</v>
      </c>
      <c r="E49" s="819" t="s">
        <v>1314</v>
      </c>
      <c r="F49" s="473"/>
      <c r="G49" s="470"/>
      <c r="H49" s="470"/>
      <c r="I49" s="470">
        <v>10</v>
      </c>
      <c r="J49" s="470"/>
      <c r="K49" s="488">
        <v>142414.9</v>
      </c>
      <c r="L49" s="1007">
        <f t="shared" si="13"/>
        <v>1424149</v>
      </c>
      <c r="M49" s="1007">
        <f t="shared" si="14"/>
        <v>0</v>
      </c>
      <c r="N49" s="1007">
        <f t="shared" si="15"/>
        <v>0</v>
      </c>
      <c r="O49" s="1007">
        <f t="shared" si="16"/>
        <v>1424149</v>
      </c>
      <c r="P49" s="1007">
        <f t="shared" si="17"/>
        <v>0</v>
      </c>
      <c r="Q49" s="1207"/>
      <c r="R49" s="1202"/>
      <c r="S49" s="470"/>
      <c r="T49" s="991">
        <f t="shared" si="18"/>
        <v>10</v>
      </c>
      <c r="U49" s="1008"/>
    </row>
    <row r="50" spans="1:21" ht="15.75">
      <c r="A50" s="473">
        <v>44</v>
      </c>
      <c r="B50" s="819" t="s">
        <v>1320</v>
      </c>
      <c r="C50" s="819">
        <v>64400109</v>
      </c>
      <c r="D50" s="470">
        <v>20</v>
      </c>
      <c r="E50" s="819" t="s">
        <v>1314</v>
      </c>
      <c r="F50" s="473"/>
      <c r="G50" s="470"/>
      <c r="H50" s="470">
        <v>10</v>
      </c>
      <c r="I50" s="470">
        <v>5</v>
      </c>
      <c r="J50" s="470">
        <v>5</v>
      </c>
      <c r="K50" s="488">
        <v>9363566.25</v>
      </c>
      <c r="L50" s="1007">
        <f t="shared" si="13"/>
        <v>187271325</v>
      </c>
      <c r="M50" s="1007">
        <f t="shared" si="14"/>
        <v>0</v>
      </c>
      <c r="N50" s="1007">
        <f t="shared" si="15"/>
        <v>93635662.5</v>
      </c>
      <c r="O50" s="1007">
        <f t="shared" si="16"/>
        <v>46817831.25</v>
      </c>
      <c r="P50" s="1007">
        <f t="shared" si="17"/>
        <v>46817831.25</v>
      </c>
      <c r="Q50" s="1207"/>
      <c r="R50" s="1202"/>
      <c r="S50" s="470">
        <v>15</v>
      </c>
      <c r="T50" s="991">
        <f t="shared" si="18"/>
        <v>5</v>
      </c>
      <c r="U50" s="1008">
        <v>131393168.55</v>
      </c>
    </row>
    <row r="51" spans="1:21" ht="15.75">
      <c r="A51" s="473">
        <v>45</v>
      </c>
      <c r="B51" s="819" t="s">
        <v>1321</v>
      </c>
      <c r="C51" s="819">
        <v>64400115</v>
      </c>
      <c r="D51" s="470">
        <v>5</v>
      </c>
      <c r="E51" s="819" t="s">
        <v>1314</v>
      </c>
      <c r="F51" s="473"/>
      <c r="G51" s="470"/>
      <c r="H51" s="470">
        <v>3</v>
      </c>
      <c r="I51" s="470">
        <v>2</v>
      </c>
      <c r="J51" s="470"/>
      <c r="K51" s="488">
        <v>44771150.090000004</v>
      </c>
      <c r="L51" s="1007">
        <f t="shared" si="13"/>
        <v>223855750.45000002</v>
      </c>
      <c r="M51" s="1007">
        <f t="shared" si="14"/>
        <v>0</v>
      </c>
      <c r="N51" s="1007">
        <f t="shared" si="15"/>
        <v>134313450.27000001</v>
      </c>
      <c r="O51" s="1007">
        <f t="shared" si="16"/>
        <v>89542300.180000007</v>
      </c>
      <c r="P51" s="1007">
        <f t="shared" si="17"/>
        <v>0</v>
      </c>
      <c r="Q51" s="1207"/>
      <c r="R51" s="1202"/>
      <c r="S51" s="470">
        <v>3</v>
      </c>
      <c r="T51" s="991">
        <f t="shared" si="18"/>
        <v>2</v>
      </c>
      <c r="U51" s="1008">
        <v>125649204.90000001</v>
      </c>
    </row>
    <row r="52" spans="1:21" ht="15.75">
      <c r="A52" s="473">
        <v>46</v>
      </c>
      <c r="B52" s="468" t="s">
        <v>1322</v>
      </c>
      <c r="C52" s="468">
        <v>80200109</v>
      </c>
      <c r="D52" s="470">
        <v>50</v>
      </c>
      <c r="E52" s="819" t="s">
        <v>1314</v>
      </c>
      <c r="F52" s="473"/>
      <c r="G52" s="470"/>
      <c r="H52" s="470">
        <v>50</v>
      </c>
      <c r="I52" s="470"/>
      <c r="J52" s="470"/>
      <c r="K52" s="488">
        <v>17908.46</v>
      </c>
      <c r="L52" s="1007">
        <f t="shared" si="13"/>
        <v>895423</v>
      </c>
      <c r="M52" s="1007">
        <f t="shared" si="14"/>
        <v>0</v>
      </c>
      <c r="N52" s="1007">
        <f t="shared" si="15"/>
        <v>895423</v>
      </c>
      <c r="O52" s="1007">
        <f t="shared" si="16"/>
        <v>0</v>
      </c>
      <c r="P52" s="1007">
        <f t="shared" si="17"/>
        <v>0</v>
      </c>
      <c r="Q52" s="1207"/>
      <c r="R52" s="1202"/>
      <c r="S52" s="470">
        <v>50</v>
      </c>
      <c r="T52" s="991">
        <f t="shared" si="18"/>
        <v>0</v>
      </c>
      <c r="U52" s="1008">
        <v>837661.5</v>
      </c>
    </row>
    <row r="53" spans="1:21" ht="15.75">
      <c r="A53" s="473">
        <v>47</v>
      </c>
      <c r="B53" s="468" t="s">
        <v>1323</v>
      </c>
      <c r="C53" s="468">
        <v>64400120</v>
      </c>
      <c r="D53" s="470">
        <v>10</v>
      </c>
      <c r="E53" s="819" t="s">
        <v>1314</v>
      </c>
      <c r="F53" s="473"/>
      <c r="G53" s="470"/>
      <c r="H53" s="470">
        <v>5</v>
      </c>
      <c r="I53" s="470">
        <v>5</v>
      </c>
      <c r="J53" s="470"/>
      <c r="K53" s="488">
        <v>10463657.359999999</v>
      </c>
      <c r="L53" s="1007">
        <f t="shared" si="13"/>
        <v>104636573.59999999</v>
      </c>
      <c r="M53" s="1007">
        <f t="shared" si="14"/>
        <v>0</v>
      </c>
      <c r="N53" s="1007">
        <f t="shared" si="15"/>
        <v>52318286.799999997</v>
      </c>
      <c r="O53" s="1007">
        <f t="shared" si="16"/>
        <v>52318286.799999997</v>
      </c>
      <c r="P53" s="1007">
        <f t="shared" si="17"/>
        <v>0</v>
      </c>
      <c r="Q53" s="1207"/>
      <c r="R53" s="1202"/>
      <c r="S53" s="470">
        <v>5</v>
      </c>
      <c r="T53" s="991">
        <f t="shared" si="18"/>
        <v>5</v>
      </c>
      <c r="U53" s="1008">
        <v>48943356.950000003</v>
      </c>
    </row>
    <row r="54" spans="1:21" ht="15.75">
      <c r="A54" s="473">
        <v>48</v>
      </c>
      <c r="B54" s="465" t="s">
        <v>923</v>
      </c>
      <c r="C54" s="465">
        <v>80200142</v>
      </c>
      <c r="D54" s="470">
        <v>600</v>
      </c>
      <c r="E54" s="819" t="s">
        <v>1314</v>
      </c>
      <c r="F54" s="473"/>
      <c r="G54" s="470"/>
      <c r="H54" s="470">
        <v>200</v>
      </c>
      <c r="I54" s="470">
        <v>200</v>
      </c>
      <c r="J54" s="470">
        <v>200</v>
      </c>
      <c r="K54" s="488">
        <v>38375.269999999997</v>
      </c>
      <c r="L54" s="1007">
        <f t="shared" si="13"/>
        <v>23025161.999999996</v>
      </c>
      <c r="M54" s="1007">
        <f t="shared" si="14"/>
        <v>0</v>
      </c>
      <c r="N54" s="1007">
        <f t="shared" si="15"/>
        <v>7675053.9999999991</v>
      </c>
      <c r="O54" s="1007">
        <f t="shared" si="16"/>
        <v>7675053.9999999991</v>
      </c>
      <c r="P54" s="1007">
        <f t="shared" si="17"/>
        <v>7675053.9999999991</v>
      </c>
      <c r="Q54" s="1207"/>
      <c r="R54" s="1202"/>
      <c r="S54" s="470">
        <v>200</v>
      </c>
      <c r="T54" s="991">
        <f t="shared" si="18"/>
        <v>400</v>
      </c>
      <c r="U54" s="1008">
        <v>7438322</v>
      </c>
    </row>
    <row r="55" spans="1:21" ht="15.75">
      <c r="A55" s="473">
        <v>49</v>
      </c>
      <c r="B55" s="819" t="s">
        <v>1324</v>
      </c>
      <c r="C55" s="819">
        <v>65500128</v>
      </c>
      <c r="D55" s="470">
        <v>1</v>
      </c>
      <c r="E55" s="819" t="s">
        <v>1314</v>
      </c>
      <c r="F55" s="473"/>
      <c r="G55" s="470"/>
      <c r="H55" s="470">
        <v>1</v>
      </c>
      <c r="I55" s="470"/>
      <c r="J55" s="470"/>
      <c r="K55" s="488">
        <v>11998668.220000001</v>
      </c>
      <c r="L55" s="1007">
        <f t="shared" si="13"/>
        <v>11998668.220000001</v>
      </c>
      <c r="M55" s="1007">
        <f t="shared" si="14"/>
        <v>0</v>
      </c>
      <c r="N55" s="1007">
        <f t="shared" si="15"/>
        <v>11998668.220000001</v>
      </c>
      <c r="O55" s="1007">
        <f t="shared" si="16"/>
        <v>0</v>
      </c>
      <c r="P55" s="1007">
        <f t="shared" si="17"/>
        <v>0</v>
      </c>
      <c r="Q55" s="1207"/>
      <c r="R55" s="1202"/>
      <c r="S55" s="470">
        <v>1</v>
      </c>
      <c r="T55" s="991">
        <f t="shared" si="18"/>
        <v>0</v>
      </c>
      <c r="U55" s="1008">
        <v>11224662.310000001</v>
      </c>
    </row>
    <row r="56" spans="1:21" ht="15.75">
      <c r="A56" s="473">
        <v>50</v>
      </c>
      <c r="B56" s="819" t="s">
        <v>1993</v>
      </c>
      <c r="C56" s="819">
        <v>64500195</v>
      </c>
      <c r="D56" s="470">
        <v>1</v>
      </c>
      <c r="E56" s="819" t="s">
        <v>1314</v>
      </c>
      <c r="F56" s="473"/>
      <c r="G56" s="470"/>
      <c r="H56" s="470">
        <v>1</v>
      </c>
      <c r="I56" s="470"/>
      <c r="J56" s="470"/>
      <c r="K56" s="488">
        <v>1172492462.02</v>
      </c>
      <c r="L56" s="1007">
        <f t="shared" si="13"/>
        <v>1172492462.02</v>
      </c>
      <c r="M56" s="1007">
        <f t="shared" si="14"/>
        <v>0</v>
      </c>
      <c r="N56" s="1007">
        <f t="shared" si="15"/>
        <v>1172492462.02</v>
      </c>
      <c r="O56" s="1007">
        <f t="shared" si="16"/>
        <v>0</v>
      </c>
      <c r="P56" s="1007">
        <f t="shared" si="17"/>
        <v>0</v>
      </c>
      <c r="Q56" s="1207"/>
      <c r="R56" s="1202"/>
      <c r="S56" s="470">
        <v>1</v>
      </c>
      <c r="T56" s="991">
        <f t="shared" si="18"/>
        <v>0</v>
      </c>
      <c r="U56" s="1008">
        <v>1096857725.9100001</v>
      </c>
    </row>
    <row r="57" spans="1:21" ht="15.75">
      <c r="A57" s="473">
        <v>51</v>
      </c>
      <c r="B57" s="819" t="s">
        <v>1325</v>
      </c>
      <c r="C57" s="819">
        <v>80801082</v>
      </c>
      <c r="D57" s="470">
        <v>2</v>
      </c>
      <c r="E57" s="819" t="s">
        <v>1314</v>
      </c>
      <c r="F57" s="819" t="s">
        <v>1994</v>
      </c>
      <c r="G57" s="470"/>
      <c r="H57" s="470">
        <v>1</v>
      </c>
      <c r="I57" s="470">
        <v>1</v>
      </c>
      <c r="J57" s="470"/>
      <c r="K57" s="488">
        <v>83734842.420000002</v>
      </c>
      <c r="L57" s="1007">
        <f t="shared" si="13"/>
        <v>167469684.84</v>
      </c>
      <c r="M57" s="1007">
        <f t="shared" si="14"/>
        <v>0</v>
      </c>
      <c r="N57" s="1007">
        <f t="shared" si="15"/>
        <v>83734842.420000002</v>
      </c>
      <c r="O57" s="1007">
        <f t="shared" si="16"/>
        <v>83734842.420000002</v>
      </c>
      <c r="P57" s="1007">
        <f t="shared" si="17"/>
        <v>0</v>
      </c>
      <c r="Q57" s="1207"/>
      <c r="R57" s="1202"/>
      <c r="S57" s="470">
        <v>1</v>
      </c>
      <c r="T57" s="991">
        <f t="shared" si="18"/>
        <v>1</v>
      </c>
      <c r="U57" s="1008">
        <v>75514507.900000006</v>
      </c>
    </row>
    <row r="58" spans="1:21" ht="15.75">
      <c r="A58" s="473">
        <v>52</v>
      </c>
      <c r="B58" s="819" t="s">
        <v>1326</v>
      </c>
      <c r="C58" s="819">
        <v>63100123</v>
      </c>
      <c r="D58" s="470">
        <v>530</v>
      </c>
      <c r="E58" s="819" t="s">
        <v>1314</v>
      </c>
      <c r="F58" s="473"/>
      <c r="G58" s="470"/>
      <c r="H58" s="470">
        <v>320</v>
      </c>
      <c r="I58" s="470">
        <v>210</v>
      </c>
      <c r="J58" s="470"/>
      <c r="K58" s="488">
        <v>767505.43</v>
      </c>
      <c r="L58" s="1007">
        <f t="shared" si="13"/>
        <v>406777877.90000004</v>
      </c>
      <c r="M58" s="1007">
        <f t="shared" si="14"/>
        <v>0</v>
      </c>
      <c r="N58" s="1007">
        <f t="shared" si="15"/>
        <v>245601737.60000002</v>
      </c>
      <c r="O58" s="1007">
        <f t="shared" si="16"/>
        <v>161176140.30000001</v>
      </c>
      <c r="P58" s="1007">
        <f t="shared" si="17"/>
        <v>0</v>
      </c>
      <c r="Q58" s="1207"/>
      <c r="R58" s="1202"/>
      <c r="S58" s="470">
        <v>320</v>
      </c>
      <c r="T58" s="991">
        <f t="shared" si="18"/>
        <v>210</v>
      </c>
      <c r="U58" s="1008">
        <v>229758547.19999999</v>
      </c>
    </row>
    <row r="59" spans="1:21" ht="15.75">
      <c r="A59" s="473">
        <v>53</v>
      </c>
      <c r="B59" s="468" t="s">
        <v>1327</v>
      </c>
      <c r="C59" s="468">
        <v>63200218</v>
      </c>
      <c r="D59" s="470">
        <v>10</v>
      </c>
      <c r="E59" s="819" t="s">
        <v>1314</v>
      </c>
      <c r="F59" s="473"/>
      <c r="G59" s="470"/>
      <c r="H59" s="470">
        <v>2</v>
      </c>
      <c r="I59" s="470">
        <v>4</v>
      </c>
      <c r="J59" s="470">
        <v>4</v>
      </c>
      <c r="K59" s="488">
        <v>1893180.06</v>
      </c>
      <c r="L59" s="1007">
        <f t="shared" si="13"/>
        <v>18931800.600000001</v>
      </c>
      <c r="M59" s="1007">
        <f t="shared" si="14"/>
        <v>0</v>
      </c>
      <c r="N59" s="1007">
        <f t="shared" si="15"/>
        <v>3786360.12</v>
      </c>
      <c r="O59" s="1007">
        <f t="shared" si="16"/>
        <v>7572720.2400000002</v>
      </c>
      <c r="P59" s="1007">
        <f t="shared" si="17"/>
        <v>7572720.2400000002</v>
      </c>
      <c r="Q59" s="1207"/>
      <c r="R59" s="1202"/>
      <c r="S59" s="470">
        <v>2</v>
      </c>
      <c r="T59" s="991">
        <f t="shared" si="18"/>
        <v>8</v>
      </c>
      <c r="U59" s="1008">
        <v>348642.88</v>
      </c>
    </row>
    <row r="60" spans="1:21" ht="15.75">
      <c r="A60" s="473">
        <v>54</v>
      </c>
      <c r="B60" s="468" t="s">
        <v>1328</v>
      </c>
      <c r="C60" s="468">
        <v>63200125</v>
      </c>
      <c r="D60" s="470">
        <v>30</v>
      </c>
      <c r="E60" s="819" t="s">
        <v>1314</v>
      </c>
      <c r="F60" s="473"/>
      <c r="G60" s="470"/>
      <c r="H60" s="470">
        <v>10</v>
      </c>
      <c r="I60" s="470">
        <v>10</v>
      </c>
      <c r="J60" s="470">
        <v>10</v>
      </c>
      <c r="K60" s="488">
        <v>6267691.0099999998</v>
      </c>
      <c r="L60" s="1007">
        <f t="shared" si="13"/>
        <v>188030730.29999998</v>
      </c>
      <c r="M60" s="1007">
        <f t="shared" si="14"/>
        <v>0</v>
      </c>
      <c r="N60" s="1007">
        <f t="shared" si="15"/>
        <v>62676910.099999994</v>
      </c>
      <c r="O60" s="1007">
        <f t="shared" si="16"/>
        <v>62676910.099999994</v>
      </c>
      <c r="P60" s="1007">
        <f t="shared" si="17"/>
        <v>62676910.099999994</v>
      </c>
      <c r="Q60" s="1207"/>
      <c r="R60" s="1202"/>
      <c r="S60" s="470">
        <v>10</v>
      </c>
      <c r="T60" s="991">
        <f t="shared" si="18"/>
        <v>20</v>
      </c>
      <c r="U60" s="1008">
        <v>113052578.2</v>
      </c>
    </row>
    <row r="61" spans="1:21" ht="15.75">
      <c r="A61" s="473">
        <v>55</v>
      </c>
      <c r="B61" s="819" t="s">
        <v>1329</v>
      </c>
      <c r="C61" s="819">
        <v>63200133</v>
      </c>
      <c r="D61" s="470">
        <v>30</v>
      </c>
      <c r="E61" s="819" t="s">
        <v>1314</v>
      </c>
      <c r="F61" s="473"/>
      <c r="G61" s="470"/>
      <c r="H61" s="470">
        <v>10</v>
      </c>
      <c r="I61" s="470">
        <v>10</v>
      </c>
      <c r="J61" s="470">
        <v>10</v>
      </c>
      <c r="K61" s="488">
        <v>5935375.3300000001</v>
      </c>
      <c r="L61" s="1007">
        <f t="shared" si="13"/>
        <v>178061259.90000001</v>
      </c>
      <c r="M61" s="1007">
        <f t="shared" si="14"/>
        <v>0</v>
      </c>
      <c r="N61" s="1007">
        <f t="shared" si="15"/>
        <v>59353753.299999997</v>
      </c>
      <c r="O61" s="1007">
        <f t="shared" si="16"/>
        <v>59353753.299999997</v>
      </c>
      <c r="P61" s="1007">
        <f t="shared" si="17"/>
        <v>59353753.299999997</v>
      </c>
      <c r="Q61" s="1207"/>
      <c r="R61" s="1202"/>
      <c r="S61" s="470">
        <v>10</v>
      </c>
      <c r="T61" s="991">
        <f t="shared" si="18"/>
        <v>20</v>
      </c>
      <c r="U61" s="1008">
        <v>53526935</v>
      </c>
    </row>
    <row r="62" spans="1:21" ht="15.75">
      <c r="A62" s="473">
        <v>56</v>
      </c>
      <c r="B62" s="468" t="s">
        <v>1330</v>
      </c>
      <c r="C62" s="819">
        <v>63200167</v>
      </c>
      <c r="D62" s="470">
        <v>10</v>
      </c>
      <c r="E62" s="819" t="s">
        <v>1314</v>
      </c>
      <c r="F62" s="473"/>
      <c r="G62" s="470"/>
      <c r="H62" s="470">
        <v>5</v>
      </c>
      <c r="I62" s="470">
        <v>5</v>
      </c>
      <c r="J62" s="470"/>
      <c r="K62" s="488">
        <v>869839.49</v>
      </c>
      <c r="L62" s="1007">
        <f t="shared" si="13"/>
        <v>8698394.9000000004</v>
      </c>
      <c r="M62" s="1007">
        <f t="shared" si="14"/>
        <v>0</v>
      </c>
      <c r="N62" s="1007">
        <f t="shared" si="15"/>
        <v>4349197.45</v>
      </c>
      <c r="O62" s="1007">
        <f t="shared" si="16"/>
        <v>4349197.45</v>
      </c>
      <c r="P62" s="1007">
        <f t="shared" si="17"/>
        <v>0</v>
      </c>
      <c r="Q62" s="1207"/>
      <c r="R62" s="1202"/>
      <c r="S62" s="470">
        <v>5</v>
      </c>
      <c r="T62" s="991">
        <f t="shared" si="18"/>
        <v>5</v>
      </c>
      <c r="U62" s="1008">
        <v>3922232.3</v>
      </c>
    </row>
    <row r="63" spans="1:21" ht="15.75">
      <c r="A63" s="473">
        <v>57</v>
      </c>
      <c r="B63" s="468" t="s">
        <v>1331</v>
      </c>
      <c r="C63" s="819">
        <v>63200168</v>
      </c>
      <c r="D63" s="470">
        <v>48</v>
      </c>
      <c r="E63" s="819" t="s">
        <v>1314</v>
      </c>
      <c r="F63" s="473"/>
      <c r="G63" s="470"/>
      <c r="H63" s="470">
        <v>16</v>
      </c>
      <c r="I63" s="470">
        <v>16</v>
      </c>
      <c r="J63" s="470">
        <v>16</v>
      </c>
      <c r="K63" s="488">
        <v>199267.15</v>
      </c>
      <c r="L63" s="1007">
        <f t="shared" si="13"/>
        <v>9564823.1999999993</v>
      </c>
      <c r="M63" s="1007">
        <f t="shared" si="14"/>
        <v>0</v>
      </c>
      <c r="N63" s="1007">
        <f t="shared" si="15"/>
        <v>3188274.4</v>
      </c>
      <c r="O63" s="1007">
        <f t="shared" si="16"/>
        <v>3188274.4</v>
      </c>
      <c r="P63" s="1007">
        <f t="shared" si="17"/>
        <v>3188274.4</v>
      </c>
      <c r="Q63" s="1207"/>
      <c r="R63" s="1202"/>
      <c r="S63" s="470">
        <v>16</v>
      </c>
      <c r="T63" s="991">
        <f t="shared" si="18"/>
        <v>32</v>
      </c>
      <c r="U63" s="1008">
        <v>2875278.24</v>
      </c>
    </row>
    <row r="64" spans="1:21" ht="15.75">
      <c r="A64" s="473">
        <v>58</v>
      </c>
      <c r="B64" s="819" t="s">
        <v>1332</v>
      </c>
      <c r="C64" s="819">
        <v>63200123</v>
      </c>
      <c r="D64" s="470">
        <v>60</v>
      </c>
      <c r="E64" s="819" t="s">
        <v>1314</v>
      </c>
      <c r="F64" s="819" t="s">
        <v>1994</v>
      </c>
      <c r="G64" s="470"/>
      <c r="H64" s="470">
        <v>30</v>
      </c>
      <c r="I64" s="470">
        <v>15</v>
      </c>
      <c r="J64" s="470">
        <v>15</v>
      </c>
      <c r="K64" s="488">
        <v>20057475.239999998</v>
      </c>
      <c r="L64" s="1007">
        <f t="shared" si="13"/>
        <v>1203448514.3999999</v>
      </c>
      <c r="M64" s="1007">
        <f t="shared" si="14"/>
        <v>0</v>
      </c>
      <c r="N64" s="1007">
        <f t="shared" si="15"/>
        <v>601724257.19999993</v>
      </c>
      <c r="O64" s="1007">
        <f t="shared" si="16"/>
        <v>300862128.59999996</v>
      </c>
      <c r="P64" s="1007">
        <f t="shared" si="17"/>
        <v>300862128.59999996</v>
      </c>
      <c r="Q64" s="1207"/>
      <c r="R64" s="1202"/>
      <c r="S64" s="470">
        <v>30</v>
      </c>
      <c r="T64" s="991">
        <f t="shared" si="18"/>
        <v>30</v>
      </c>
      <c r="U64" s="1008">
        <v>542652375.89999998</v>
      </c>
    </row>
    <row r="65" spans="1:21" ht="30">
      <c r="A65" s="473">
        <v>59</v>
      </c>
      <c r="B65" s="819" t="s">
        <v>1333</v>
      </c>
      <c r="C65" s="819">
        <v>63200172</v>
      </c>
      <c r="D65" s="470">
        <v>8</v>
      </c>
      <c r="E65" s="819" t="s">
        <v>1314</v>
      </c>
      <c r="F65" s="473"/>
      <c r="G65" s="470"/>
      <c r="H65" s="470">
        <v>4</v>
      </c>
      <c r="I65" s="470">
        <v>2</v>
      </c>
      <c r="J65" s="470">
        <v>2</v>
      </c>
      <c r="K65" s="488">
        <v>61298100.350000001</v>
      </c>
      <c r="L65" s="1007">
        <f t="shared" si="13"/>
        <v>490384802.80000001</v>
      </c>
      <c r="M65" s="1007">
        <f t="shared" si="14"/>
        <v>0</v>
      </c>
      <c r="N65" s="1007">
        <f t="shared" si="15"/>
        <v>245192401.40000001</v>
      </c>
      <c r="O65" s="1007">
        <f t="shared" si="16"/>
        <v>122596200.7</v>
      </c>
      <c r="P65" s="1007">
        <f t="shared" si="17"/>
        <v>122596200.7</v>
      </c>
      <c r="Q65" s="1207"/>
      <c r="R65" s="1202"/>
      <c r="S65" s="470">
        <v>4</v>
      </c>
      <c r="T65" s="991">
        <f t="shared" si="18"/>
        <v>4</v>
      </c>
      <c r="U65" s="1008">
        <v>221121614.36000001</v>
      </c>
    </row>
    <row r="66" spans="1:21" ht="15.75">
      <c r="A66" s="473">
        <v>60</v>
      </c>
      <c r="B66" s="819" t="s">
        <v>1334</v>
      </c>
      <c r="C66" s="819">
        <v>64000105</v>
      </c>
      <c r="D66" s="470">
        <v>100</v>
      </c>
      <c r="E66" s="819" t="s">
        <v>1314</v>
      </c>
      <c r="F66" s="473"/>
      <c r="G66" s="470"/>
      <c r="H66" s="470">
        <v>50</v>
      </c>
      <c r="I66" s="470">
        <v>50</v>
      </c>
      <c r="J66" s="470"/>
      <c r="K66" s="488">
        <v>434919.74</v>
      </c>
      <c r="L66" s="1007">
        <f t="shared" si="13"/>
        <v>43491974</v>
      </c>
      <c r="M66" s="1007">
        <f t="shared" si="14"/>
        <v>0</v>
      </c>
      <c r="N66" s="1007">
        <f t="shared" si="15"/>
        <v>21745987</v>
      </c>
      <c r="O66" s="1007">
        <f t="shared" si="16"/>
        <v>21745987</v>
      </c>
      <c r="P66" s="1007">
        <f t="shared" si="17"/>
        <v>0</v>
      </c>
      <c r="Q66" s="1207"/>
      <c r="R66" s="1202"/>
      <c r="S66" s="470">
        <v>50</v>
      </c>
      <c r="T66" s="991">
        <f t="shared" si="18"/>
        <v>50</v>
      </c>
      <c r="U66" s="1008">
        <v>39222323</v>
      </c>
    </row>
    <row r="67" spans="1:21" ht="15.75">
      <c r="A67" s="473">
        <v>61</v>
      </c>
      <c r="B67" s="468" t="s">
        <v>1335</v>
      </c>
      <c r="C67" s="468">
        <v>64000142</v>
      </c>
      <c r="D67" s="470">
        <v>120</v>
      </c>
      <c r="E67" s="819" t="s">
        <v>1314</v>
      </c>
      <c r="F67" s="473"/>
      <c r="G67" s="470"/>
      <c r="H67" s="470">
        <v>60</v>
      </c>
      <c r="I67" s="470">
        <v>30</v>
      </c>
      <c r="J67" s="470">
        <v>30</v>
      </c>
      <c r="K67" s="488">
        <v>4988785.3</v>
      </c>
      <c r="L67" s="1007">
        <f t="shared" si="13"/>
        <v>598654236</v>
      </c>
      <c r="M67" s="1007">
        <f t="shared" si="14"/>
        <v>0</v>
      </c>
      <c r="N67" s="1007">
        <f t="shared" si="15"/>
        <v>299327118</v>
      </c>
      <c r="O67" s="1007">
        <f t="shared" si="16"/>
        <v>149663559</v>
      </c>
      <c r="P67" s="1007">
        <f t="shared" si="17"/>
        <v>149663559</v>
      </c>
      <c r="Q67" s="1207"/>
      <c r="R67" s="1202"/>
      <c r="S67" s="470">
        <v>60</v>
      </c>
      <c r="T67" s="991">
        <f t="shared" si="18"/>
        <v>60</v>
      </c>
      <c r="U67" s="1008">
        <v>269947870.19999999</v>
      </c>
    </row>
    <row r="68" spans="1:21" ht="15.75">
      <c r="A68" s="473">
        <v>62</v>
      </c>
      <c r="B68" s="476" t="s">
        <v>1336</v>
      </c>
      <c r="C68" s="468">
        <v>63200182</v>
      </c>
      <c r="D68" s="470">
        <v>20</v>
      </c>
      <c r="E68" s="819" t="s">
        <v>1314</v>
      </c>
      <c r="F68" s="819" t="s">
        <v>1994</v>
      </c>
      <c r="G68" s="470"/>
      <c r="H68" s="470">
        <v>10</v>
      </c>
      <c r="I68" s="470">
        <v>10</v>
      </c>
      <c r="J68" s="470"/>
      <c r="K68" s="488">
        <v>170841.02</v>
      </c>
      <c r="L68" s="1007">
        <f t="shared" si="13"/>
        <v>3416820.4</v>
      </c>
      <c r="M68" s="1007">
        <f t="shared" si="14"/>
        <v>0</v>
      </c>
      <c r="N68" s="1007">
        <f t="shared" si="15"/>
        <v>1708410.2</v>
      </c>
      <c r="O68" s="1007">
        <f t="shared" si="16"/>
        <v>1708410.2</v>
      </c>
      <c r="P68" s="1007">
        <f t="shared" si="17"/>
        <v>0</v>
      </c>
      <c r="Q68" s="1207"/>
      <c r="R68" s="1202"/>
      <c r="S68" s="470">
        <v>10</v>
      </c>
      <c r="T68" s="991">
        <f t="shared" si="18"/>
        <v>10</v>
      </c>
      <c r="U68" s="1008">
        <v>1540693.8</v>
      </c>
    </row>
    <row r="69" spans="1:21" ht="15.75">
      <c r="A69" s="473">
        <v>63</v>
      </c>
      <c r="B69" s="819" t="s">
        <v>1337</v>
      </c>
      <c r="C69" s="819">
        <v>63400125</v>
      </c>
      <c r="D69" s="470">
        <v>20</v>
      </c>
      <c r="E69" s="819" t="s">
        <v>1314</v>
      </c>
      <c r="F69" s="473" t="s">
        <v>1995</v>
      </c>
      <c r="G69" s="470"/>
      <c r="H69" s="470"/>
      <c r="I69" s="470">
        <v>10</v>
      </c>
      <c r="J69" s="470">
        <v>10</v>
      </c>
      <c r="K69" s="488">
        <v>997757.06</v>
      </c>
      <c r="L69" s="1007">
        <f t="shared" si="13"/>
        <v>19955141.200000003</v>
      </c>
      <c r="M69" s="1007">
        <f t="shared" si="14"/>
        <v>0</v>
      </c>
      <c r="N69" s="1007">
        <f t="shared" si="15"/>
        <v>0</v>
      </c>
      <c r="O69" s="1007">
        <f t="shared" si="16"/>
        <v>9977570.6000000015</v>
      </c>
      <c r="P69" s="1007">
        <f t="shared" si="17"/>
        <v>9977570.6000000015</v>
      </c>
      <c r="Q69" s="1207"/>
      <c r="R69" s="1202"/>
      <c r="S69" s="470"/>
      <c r="T69" s="991">
        <f t="shared" si="18"/>
        <v>20</v>
      </c>
      <c r="U69" s="1008"/>
    </row>
    <row r="70" spans="1:21" ht="15.75">
      <c r="A70" s="473">
        <v>64</v>
      </c>
      <c r="B70" s="819" t="s">
        <v>1339</v>
      </c>
      <c r="C70" s="465">
        <v>64400165</v>
      </c>
      <c r="D70" s="470">
        <v>1</v>
      </c>
      <c r="E70" s="819" t="s">
        <v>1314</v>
      </c>
      <c r="F70" s="473"/>
      <c r="G70" s="470"/>
      <c r="H70" s="470"/>
      <c r="I70" s="470">
        <v>1</v>
      </c>
      <c r="J70" s="470"/>
      <c r="K70" s="488">
        <v>49094764.009999998</v>
      </c>
      <c r="L70" s="1007">
        <f t="shared" si="13"/>
        <v>49094764.009999998</v>
      </c>
      <c r="M70" s="1007">
        <f t="shared" si="14"/>
        <v>0</v>
      </c>
      <c r="N70" s="1007">
        <f t="shared" si="15"/>
        <v>0</v>
      </c>
      <c r="O70" s="1007">
        <f t="shared" si="16"/>
        <v>49094764.009999998</v>
      </c>
      <c r="P70" s="1007">
        <f t="shared" si="17"/>
        <v>0</v>
      </c>
      <c r="Q70" s="1207"/>
      <c r="R70" s="1202"/>
      <c r="S70" s="470"/>
      <c r="T70" s="991">
        <f t="shared" si="18"/>
        <v>1</v>
      </c>
      <c r="U70" s="1008"/>
    </row>
    <row r="71" spans="1:21" ht="15.75">
      <c r="A71" s="473">
        <v>65</v>
      </c>
      <c r="B71" s="819" t="s">
        <v>1340</v>
      </c>
      <c r="C71" s="465">
        <v>65500130</v>
      </c>
      <c r="D71" s="470">
        <v>1</v>
      </c>
      <c r="E71" s="819" t="s">
        <v>1314</v>
      </c>
      <c r="F71" s="473"/>
      <c r="G71" s="470"/>
      <c r="H71" s="470">
        <v>1</v>
      </c>
      <c r="I71" s="470"/>
      <c r="J71" s="470"/>
      <c r="K71" s="488">
        <v>10489240.880000001</v>
      </c>
      <c r="L71" s="1007">
        <f t="shared" si="13"/>
        <v>10489240.880000001</v>
      </c>
      <c r="M71" s="1007">
        <f t="shared" si="14"/>
        <v>0</v>
      </c>
      <c r="N71" s="1007">
        <f t="shared" si="15"/>
        <v>10489240.880000001</v>
      </c>
      <c r="O71" s="1007">
        <f t="shared" si="16"/>
        <v>0</v>
      </c>
      <c r="P71" s="1007">
        <f t="shared" si="17"/>
        <v>0</v>
      </c>
      <c r="Q71" s="1207"/>
      <c r="R71" s="1202"/>
      <c r="S71" s="470">
        <v>1</v>
      </c>
      <c r="T71" s="991">
        <f t="shared" si="18"/>
        <v>0</v>
      </c>
      <c r="U71" s="1008">
        <v>9459501.4399999995</v>
      </c>
    </row>
    <row r="72" spans="1:21" ht="15.75">
      <c r="A72" s="473">
        <v>66</v>
      </c>
      <c r="B72" s="819" t="s">
        <v>1341</v>
      </c>
      <c r="C72" s="465">
        <v>63400330</v>
      </c>
      <c r="D72" s="470">
        <v>2</v>
      </c>
      <c r="E72" s="819" t="s">
        <v>1314</v>
      </c>
      <c r="F72" s="473"/>
      <c r="G72" s="470"/>
      <c r="H72" s="470">
        <v>1</v>
      </c>
      <c r="I72" s="470">
        <v>1</v>
      </c>
      <c r="J72" s="470"/>
      <c r="K72" s="488">
        <v>1688511.95</v>
      </c>
      <c r="L72" s="1007">
        <f t="shared" si="13"/>
        <v>3377023.9</v>
      </c>
      <c r="M72" s="1007">
        <f t="shared" si="14"/>
        <v>0</v>
      </c>
      <c r="N72" s="1007">
        <f t="shared" si="15"/>
        <v>1688511.95</v>
      </c>
      <c r="O72" s="1007">
        <f t="shared" si="16"/>
        <v>1688511.95</v>
      </c>
      <c r="P72" s="1007">
        <f t="shared" si="17"/>
        <v>0</v>
      </c>
      <c r="Q72" s="1207"/>
      <c r="R72" s="1202"/>
      <c r="S72" s="470">
        <v>1</v>
      </c>
      <c r="T72" s="991">
        <f t="shared" si="18"/>
        <v>1</v>
      </c>
      <c r="U72" s="1008">
        <v>1522749.01</v>
      </c>
    </row>
    <row r="73" spans="1:21" ht="30">
      <c r="A73" s="473">
        <v>67</v>
      </c>
      <c r="B73" s="819" t="s">
        <v>1342</v>
      </c>
      <c r="C73" s="465">
        <v>63400328</v>
      </c>
      <c r="D73" s="470">
        <v>2</v>
      </c>
      <c r="E73" s="819" t="s">
        <v>1314</v>
      </c>
      <c r="F73" s="473"/>
      <c r="G73" s="470"/>
      <c r="H73" s="470">
        <v>2</v>
      </c>
      <c r="I73" s="470"/>
      <c r="J73" s="470"/>
      <c r="K73" s="488">
        <v>1688511.95</v>
      </c>
      <c r="L73" s="1007">
        <f t="shared" si="13"/>
        <v>3377023.9</v>
      </c>
      <c r="M73" s="1007">
        <f t="shared" si="14"/>
        <v>0</v>
      </c>
      <c r="N73" s="1007">
        <f t="shared" si="15"/>
        <v>3377023.9</v>
      </c>
      <c r="O73" s="1007">
        <f t="shared" si="16"/>
        <v>0</v>
      </c>
      <c r="P73" s="1007">
        <f t="shared" si="17"/>
        <v>0</v>
      </c>
      <c r="Q73" s="1207"/>
      <c r="R73" s="1202"/>
      <c r="S73" s="470">
        <v>2</v>
      </c>
      <c r="T73" s="991">
        <f t="shared" si="18"/>
        <v>0</v>
      </c>
      <c r="U73" s="1008">
        <v>3045498.02</v>
      </c>
    </row>
    <row r="74" spans="1:21" ht="15.75">
      <c r="A74" s="473">
        <v>68</v>
      </c>
      <c r="B74" s="819" t="s">
        <v>1343</v>
      </c>
      <c r="C74" s="465">
        <v>65500129</v>
      </c>
      <c r="D74" s="470">
        <v>1</v>
      </c>
      <c r="E74" s="819" t="s">
        <v>1314</v>
      </c>
      <c r="F74" s="473"/>
      <c r="G74" s="470"/>
      <c r="H74" s="470">
        <v>1</v>
      </c>
      <c r="I74" s="470"/>
      <c r="J74" s="470"/>
      <c r="K74" s="488">
        <v>11998668.220000001</v>
      </c>
      <c r="L74" s="1007">
        <f t="shared" si="13"/>
        <v>11998668.220000001</v>
      </c>
      <c r="M74" s="1007">
        <f t="shared" si="14"/>
        <v>0</v>
      </c>
      <c r="N74" s="1007">
        <f t="shared" si="15"/>
        <v>11998668.220000001</v>
      </c>
      <c r="O74" s="1007">
        <f t="shared" si="16"/>
        <v>0</v>
      </c>
      <c r="P74" s="1007">
        <f t="shared" si="17"/>
        <v>0</v>
      </c>
      <c r="Q74" s="1207"/>
      <c r="R74" s="1202"/>
      <c r="S74" s="470">
        <v>1</v>
      </c>
      <c r="T74" s="991">
        <f t="shared" si="18"/>
        <v>0</v>
      </c>
      <c r="U74" s="1008">
        <v>10820746.779999999</v>
      </c>
    </row>
    <row r="75" spans="1:21" ht="30">
      <c r="A75" s="473">
        <v>69</v>
      </c>
      <c r="B75" s="819" t="s">
        <v>1344</v>
      </c>
      <c r="C75" s="465">
        <v>63400329</v>
      </c>
      <c r="D75" s="470">
        <v>2</v>
      </c>
      <c r="E75" s="819" t="s">
        <v>1314</v>
      </c>
      <c r="F75" s="473"/>
      <c r="G75" s="470"/>
      <c r="H75" s="470">
        <v>2</v>
      </c>
      <c r="I75" s="470"/>
      <c r="J75" s="470"/>
      <c r="K75" s="488">
        <v>1688511.95</v>
      </c>
      <c r="L75" s="1007">
        <f t="shared" si="13"/>
        <v>3377023.9</v>
      </c>
      <c r="M75" s="1007">
        <f t="shared" si="14"/>
        <v>0</v>
      </c>
      <c r="N75" s="1007">
        <f t="shared" si="15"/>
        <v>3377023.9</v>
      </c>
      <c r="O75" s="1007">
        <f t="shared" si="16"/>
        <v>0</v>
      </c>
      <c r="P75" s="1007">
        <f t="shared" si="17"/>
        <v>0</v>
      </c>
      <c r="Q75" s="1207"/>
      <c r="R75" s="1202"/>
      <c r="S75" s="470">
        <v>2</v>
      </c>
      <c r="T75" s="991">
        <f t="shared" si="18"/>
        <v>0</v>
      </c>
      <c r="U75" s="1008">
        <v>3045498.02</v>
      </c>
    </row>
    <row r="76" spans="1:21" ht="15.75">
      <c r="A76" s="473">
        <v>70</v>
      </c>
      <c r="B76" s="819" t="s">
        <v>1345</v>
      </c>
      <c r="C76" s="465">
        <v>65500127</v>
      </c>
      <c r="D76" s="470">
        <v>1</v>
      </c>
      <c r="E76" s="819" t="s">
        <v>1314</v>
      </c>
      <c r="F76" s="819" t="s">
        <v>1994</v>
      </c>
      <c r="G76" s="470"/>
      <c r="H76" s="470">
        <v>1</v>
      </c>
      <c r="I76" s="470"/>
      <c r="J76" s="470"/>
      <c r="K76" s="488">
        <v>7547136.7300000004</v>
      </c>
      <c r="L76" s="1007">
        <f t="shared" si="13"/>
        <v>7547136.7300000004</v>
      </c>
      <c r="M76" s="1007">
        <f t="shared" si="14"/>
        <v>0</v>
      </c>
      <c r="N76" s="1007">
        <f t="shared" si="15"/>
        <v>7547136.7300000004</v>
      </c>
      <c r="O76" s="1007">
        <f t="shared" si="16"/>
        <v>0</v>
      </c>
      <c r="P76" s="1007">
        <f t="shared" si="17"/>
        <v>0</v>
      </c>
      <c r="Q76" s="1207"/>
      <c r="R76" s="1202"/>
      <c r="S76" s="470">
        <v>1</v>
      </c>
      <c r="T76" s="991">
        <f t="shared" si="18"/>
        <v>0</v>
      </c>
      <c r="U76" s="1008">
        <v>7562474.0499999998</v>
      </c>
    </row>
    <row r="77" spans="1:21" ht="30">
      <c r="A77" s="473">
        <v>71</v>
      </c>
      <c r="B77" s="819" t="s">
        <v>1346</v>
      </c>
      <c r="C77" s="465">
        <v>63400376</v>
      </c>
      <c r="D77" s="470">
        <v>5</v>
      </c>
      <c r="E77" s="819" t="s">
        <v>1314</v>
      </c>
      <c r="F77" s="819" t="s">
        <v>1994</v>
      </c>
      <c r="G77" s="470"/>
      <c r="H77" s="470">
        <v>2</v>
      </c>
      <c r="I77" s="470">
        <v>2</v>
      </c>
      <c r="J77" s="470">
        <v>1</v>
      </c>
      <c r="K77" s="488">
        <v>972173.54</v>
      </c>
      <c r="L77" s="1007">
        <f t="shared" si="13"/>
        <v>4860867.7</v>
      </c>
      <c r="M77" s="1007">
        <f t="shared" si="14"/>
        <v>0</v>
      </c>
      <c r="N77" s="1007">
        <f t="shared" si="15"/>
        <v>1944347.08</v>
      </c>
      <c r="O77" s="1007">
        <f t="shared" si="16"/>
        <v>1944347.08</v>
      </c>
      <c r="P77" s="1007">
        <f t="shared" si="17"/>
        <v>972173.54</v>
      </c>
      <c r="Q77" s="1207"/>
      <c r="R77" s="1202"/>
      <c r="S77" s="470">
        <v>2</v>
      </c>
      <c r="T77" s="991">
        <f t="shared" si="18"/>
        <v>3</v>
      </c>
      <c r="U77" s="1008">
        <v>1753468.56</v>
      </c>
    </row>
    <row r="78" spans="1:21" ht="15.75">
      <c r="A78" s="473">
        <v>72</v>
      </c>
      <c r="B78" s="819" t="s">
        <v>1347</v>
      </c>
      <c r="C78" s="465">
        <v>65300119</v>
      </c>
      <c r="D78" s="470">
        <v>1</v>
      </c>
      <c r="E78" s="819" t="s">
        <v>1314</v>
      </c>
      <c r="F78" s="473"/>
      <c r="G78" s="470"/>
      <c r="H78" s="470">
        <v>1</v>
      </c>
      <c r="I78" s="470"/>
      <c r="J78" s="470"/>
      <c r="K78" s="488">
        <v>34512160.840000004</v>
      </c>
      <c r="L78" s="1007">
        <f t="shared" si="13"/>
        <v>34512160.840000004</v>
      </c>
      <c r="M78" s="1007">
        <f t="shared" si="14"/>
        <v>0</v>
      </c>
      <c r="N78" s="1007">
        <f t="shared" si="15"/>
        <v>34512160.840000004</v>
      </c>
      <c r="O78" s="1007">
        <f t="shared" si="16"/>
        <v>0</v>
      </c>
      <c r="P78" s="1007">
        <f t="shared" si="17"/>
        <v>0</v>
      </c>
      <c r="Q78" s="1207"/>
      <c r="R78" s="1202"/>
      <c r="S78" s="470">
        <v>1</v>
      </c>
      <c r="T78" s="991">
        <f t="shared" si="18"/>
        <v>0</v>
      </c>
      <c r="U78" s="1008">
        <v>31124066.960000001</v>
      </c>
    </row>
    <row r="79" spans="1:21" ht="15.75">
      <c r="A79" s="473">
        <v>73</v>
      </c>
      <c r="B79" s="819" t="s">
        <v>1348</v>
      </c>
      <c r="C79" s="465">
        <v>65300122</v>
      </c>
      <c r="D79" s="470">
        <v>1</v>
      </c>
      <c r="E79" s="819" t="s">
        <v>1314</v>
      </c>
      <c r="F79" s="473"/>
      <c r="G79" s="470"/>
      <c r="H79" s="470">
        <v>1</v>
      </c>
      <c r="I79" s="470"/>
      <c r="J79" s="470"/>
      <c r="K79" s="488">
        <v>55772061.25</v>
      </c>
      <c r="L79" s="1007">
        <f t="shared" si="13"/>
        <v>55772061.25</v>
      </c>
      <c r="M79" s="1007">
        <f t="shared" si="14"/>
        <v>0</v>
      </c>
      <c r="N79" s="1007">
        <f t="shared" si="15"/>
        <v>55772061.25</v>
      </c>
      <c r="O79" s="1007">
        <f t="shared" si="16"/>
        <v>0</v>
      </c>
      <c r="P79" s="1007">
        <f t="shared" si="17"/>
        <v>0</v>
      </c>
      <c r="Q79" s="1207"/>
      <c r="R79" s="1202"/>
      <c r="S79" s="470">
        <v>1</v>
      </c>
      <c r="T79" s="991">
        <f t="shared" si="18"/>
        <v>0</v>
      </c>
      <c r="U79" s="1008">
        <v>50296861.350000001</v>
      </c>
    </row>
    <row r="80" spans="1:21" ht="15.75">
      <c r="A80" s="473">
        <v>74</v>
      </c>
      <c r="B80" s="819" t="s">
        <v>1349</v>
      </c>
      <c r="C80" s="465">
        <v>65300118</v>
      </c>
      <c r="D80" s="470">
        <v>1</v>
      </c>
      <c r="E80" s="819" t="s">
        <v>1314</v>
      </c>
      <c r="F80" s="473"/>
      <c r="G80" s="470"/>
      <c r="H80" s="470">
        <v>1</v>
      </c>
      <c r="I80" s="470"/>
      <c r="J80" s="470"/>
      <c r="K80" s="488">
        <v>35893670.609999999</v>
      </c>
      <c r="L80" s="1007">
        <f t="shared" si="13"/>
        <v>35893670.609999999</v>
      </c>
      <c r="M80" s="1007">
        <f t="shared" si="14"/>
        <v>0</v>
      </c>
      <c r="N80" s="1007">
        <f t="shared" si="15"/>
        <v>35893670.609999999</v>
      </c>
      <c r="O80" s="1007">
        <f t="shared" si="16"/>
        <v>0</v>
      </c>
      <c r="P80" s="1007">
        <f t="shared" si="17"/>
        <v>0</v>
      </c>
      <c r="Q80" s="1207"/>
      <c r="R80" s="1202"/>
      <c r="S80" s="470">
        <v>1</v>
      </c>
      <c r="T80" s="991">
        <f t="shared" si="18"/>
        <v>0</v>
      </c>
      <c r="U80" s="1008">
        <v>32369952.510000002</v>
      </c>
    </row>
    <row r="81" spans="1:21" ht="15.75">
      <c r="A81" s="473">
        <v>75</v>
      </c>
      <c r="B81" s="819" t="s">
        <v>1349</v>
      </c>
      <c r="C81" s="465">
        <v>65300111</v>
      </c>
      <c r="D81" s="470">
        <v>1</v>
      </c>
      <c r="E81" s="819" t="s">
        <v>1314</v>
      </c>
      <c r="F81" s="473"/>
      <c r="G81" s="470"/>
      <c r="H81" s="470">
        <v>1</v>
      </c>
      <c r="I81" s="470"/>
      <c r="J81" s="470"/>
      <c r="K81" s="488">
        <v>29830377.719999999</v>
      </c>
      <c r="L81" s="1007">
        <f t="shared" si="13"/>
        <v>29830377.719999999</v>
      </c>
      <c r="M81" s="1007">
        <f t="shared" si="14"/>
        <v>0</v>
      </c>
      <c r="N81" s="1007">
        <f t="shared" si="15"/>
        <v>29830377.719999999</v>
      </c>
      <c r="O81" s="1007">
        <f t="shared" si="16"/>
        <v>0</v>
      </c>
      <c r="P81" s="1007">
        <f t="shared" si="17"/>
        <v>0</v>
      </c>
      <c r="Q81" s="1207"/>
      <c r="R81" s="1202"/>
      <c r="S81" s="470">
        <v>1</v>
      </c>
      <c r="T81" s="991">
        <f t="shared" si="18"/>
        <v>0</v>
      </c>
      <c r="U81" s="1008">
        <v>26901899.239999998</v>
      </c>
    </row>
    <row r="82" spans="1:21" ht="15.75">
      <c r="A82" s="473">
        <v>76</v>
      </c>
      <c r="B82" s="819" t="s">
        <v>1349</v>
      </c>
      <c r="C82" s="465">
        <v>65300110</v>
      </c>
      <c r="D82" s="470">
        <v>1</v>
      </c>
      <c r="E82" s="819" t="s">
        <v>1314</v>
      </c>
      <c r="F82" s="473"/>
      <c r="G82" s="470"/>
      <c r="H82" s="470">
        <v>1</v>
      </c>
      <c r="I82" s="470"/>
      <c r="J82" s="470"/>
      <c r="K82" s="488">
        <v>36405340.899999999</v>
      </c>
      <c r="L82" s="1007">
        <f t="shared" si="13"/>
        <v>36405340.899999999</v>
      </c>
      <c r="M82" s="1007">
        <f t="shared" si="14"/>
        <v>0</v>
      </c>
      <c r="N82" s="1007">
        <f t="shared" si="15"/>
        <v>36405340.899999999</v>
      </c>
      <c r="O82" s="1007">
        <f t="shared" si="16"/>
        <v>0</v>
      </c>
      <c r="P82" s="1007">
        <f t="shared" si="17"/>
        <v>0</v>
      </c>
      <c r="Q82" s="1207"/>
      <c r="R82" s="1202"/>
      <c r="S82" s="470">
        <v>1</v>
      </c>
      <c r="T82" s="991">
        <f t="shared" si="18"/>
        <v>0</v>
      </c>
      <c r="U82" s="1008">
        <v>32832391.609999999</v>
      </c>
    </row>
    <row r="83" spans="1:21" ht="15.75">
      <c r="A83" s="473">
        <v>77</v>
      </c>
      <c r="B83" s="819" t="s">
        <v>1350</v>
      </c>
      <c r="C83" s="465">
        <v>65300112</v>
      </c>
      <c r="D83" s="470">
        <v>1</v>
      </c>
      <c r="E83" s="819" t="s">
        <v>1314</v>
      </c>
      <c r="F83" s="473"/>
      <c r="G83" s="470"/>
      <c r="H83" s="470">
        <v>1</v>
      </c>
      <c r="I83" s="470"/>
      <c r="J83" s="470"/>
      <c r="K83" s="488">
        <v>40242868.049999997</v>
      </c>
      <c r="L83" s="1007">
        <f t="shared" si="13"/>
        <v>40242868.049999997</v>
      </c>
      <c r="M83" s="1007">
        <f t="shared" si="14"/>
        <v>0</v>
      </c>
      <c r="N83" s="1007">
        <f t="shared" si="15"/>
        <v>40242868.049999997</v>
      </c>
      <c r="O83" s="1007">
        <f t="shared" si="16"/>
        <v>0</v>
      </c>
      <c r="P83" s="1007">
        <f t="shared" si="17"/>
        <v>0</v>
      </c>
      <c r="Q83" s="1207"/>
      <c r="R83" s="1202"/>
      <c r="S83" s="470">
        <v>1</v>
      </c>
      <c r="T83" s="991">
        <f t="shared" si="18"/>
        <v>0</v>
      </c>
      <c r="U83" s="1008">
        <v>36292184.82</v>
      </c>
    </row>
    <row r="84" spans="1:21" ht="15.75">
      <c r="A84" s="473">
        <v>78</v>
      </c>
      <c r="B84" s="819" t="s">
        <v>1351</v>
      </c>
      <c r="C84" s="465">
        <v>65300115</v>
      </c>
      <c r="D84" s="470">
        <v>1</v>
      </c>
      <c r="E84" s="819" t="s">
        <v>1314</v>
      </c>
      <c r="F84" s="473"/>
      <c r="G84" s="470"/>
      <c r="H84" s="470">
        <v>1</v>
      </c>
      <c r="I84" s="470"/>
      <c r="J84" s="470"/>
      <c r="K84" s="488">
        <v>25225345.140000001</v>
      </c>
      <c r="L84" s="1007">
        <f t="shared" si="13"/>
        <v>25225345.140000001</v>
      </c>
      <c r="M84" s="1007">
        <f t="shared" si="14"/>
        <v>0</v>
      </c>
      <c r="N84" s="1007">
        <f t="shared" si="15"/>
        <v>25225345.140000001</v>
      </c>
      <c r="O84" s="1007">
        <f t="shared" si="16"/>
        <v>0</v>
      </c>
      <c r="P84" s="1007">
        <f t="shared" si="17"/>
        <v>0</v>
      </c>
      <c r="Q84" s="1207"/>
      <c r="R84" s="1202"/>
      <c r="S84" s="470">
        <v>1</v>
      </c>
      <c r="T84" s="991">
        <f t="shared" si="18"/>
        <v>0</v>
      </c>
      <c r="U84" s="1008">
        <v>22748947.379999999</v>
      </c>
    </row>
    <row r="85" spans="1:21" ht="15.75">
      <c r="A85" s="473">
        <v>79</v>
      </c>
      <c r="B85" s="819" t="s">
        <v>1351</v>
      </c>
      <c r="C85" s="465">
        <v>65300114</v>
      </c>
      <c r="D85" s="470">
        <v>1</v>
      </c>
      <c r="E85" s="819" t="s">
        <v>1314</v>
      </c>
      <c r="F85" s="473"/>
      <c r="G85" s="470"/>
      <c r="H85" s="470">
        <v>1</v>
      </c>
      <c r="I85" s="470"/>
      <c r="J85" s="470"/>
      <c r="K85" s="488">
        <v>30572299.629999999</v>
      </c>
      <c r="L85" s="1007">
        <f t="shared" si="13"/>
        <v>30572299.629999999</v>
      </c>
      <c r="M85" s="1007">
        <f t="shared" si="14"/>
        <v>0</v>
      </c>
      <c r="N85" s="1007">
        <f t="shared" si="15"/>
        <v>30572299.629999999</v>
      </c>
      <c r="O85" s="1007">
        <f t="shared" si="16"/>
        <v>0</v>
      </c>
      <c r="P85" s="1007">
        <f t="shared" si="17"/>
        <v>0</v>
      </c>
      <c r="Q85" s="1207"/>
      <c r="R85" s="1202"/>
      <c r="S85" s="470">
        <v>1</v>
      </c>
      <c r="T85" s="991">
        <f t="shared" si="18"/>
        <v>0</v>
      </c>
      <c r="U85" s="1008">
        <v>27570985.920000002</v>
      </c>
    </row>
    <row r="86" spans="1:21" ht="15.75">
      <c r="A86" s="473">
        <v>80</v>
      </c>
      <c r="B86" s="819" t="s">
        <v>1351</v>
      </c>
      <c r="C86" s="465">
        <v>65300113</v>
      </c>
      <c r="D86" s="470">
        <v>1</v>
      </c>
      <c r="E86" s="819" t="s">
        <v>1314</v>
      </c>
      <c r="F86" s="473"/>
      <c r="G86" s="470"/>
      <c r="H86" s="470">
        <v>1</v>
      </c>
      <c r="I86" s="470"/>
      <c r="J86" s="470"/>
      <c r="K86" s="488">
        <v>24816008.91</v>
      </c>
      <c r="L86" s="1007">
        <f t="shared" si="13"/>
        <v>24816008.91</v>
      </c>
      <c r="M86" s="1007">
        <f t="shared" si="14"/>
        <v>0</v>
      </c>
      <c r="N86" s="1007">
        <f t="shared" si="15"/>
        <v>24816008.91</v>
      </c>
      <c r="O86" s="1007">
        <f t="shared" si="16"/>
        <v>0</v>
      </c>
      <c r="P86" s="1007">
        <f t="shared" si="17"/>
        <v>0</v>
      </c>
      <c r="Q86" s="1207"/>
      <c r="R86" s="1202"/>
      <c r="S86" s="470">
        <v>1</v>
      </c>
      <c r="T86" s="991">
        <f t="shared" si="18"/>
        <v>0</v>
      </c>
      <c r="U86" s="1008">
        <v>22379796.100000001</v>
      </c>
    </row>
    <row r="87" spans="1:21" ht="15.75">
      <c r="A87" s="473">
        <v>81</v>
      </c>
      <c r="B87" s="819" t="s">
        <v>1352</v>
      </c>
      <c r="C87" s="465">
        <v>65300103</v>
      </c>
      <c r="D87" s="470">
        <v>1</v>
      </c>
      <c r="E87" s="819" t="s">
        <v>1314</v>
      </c>
      <c r="F87" s="473"/>
      <c r="G87" s="470"/>
      <c r="H87" s="470">
        <v>1</v>
      </c>
      <c r="I87" s="470"/>
      <c r="J87" s="470"/>
      <c r="K87" s="488">
        <v>158873624.03</v>
      </c>
      <c r="L87" s="1007">
        <f t="shared" si="13"/>
        <v>158873624.03</v>
      </c>
      <c r="M87" s="1007">
        <f t="shared" si="14"/>
        <v>0</v>
      </c>
      <c r="N87" s="1007">
        <f t="shared" si="15"/>
        <v>158873624.03</v>
      </c>
      <c r="O87" s="1007">
        <f t="shared" si="16"/>
        <v>0</v>
      </c>
      <c r="P87" s="1007">
        <f t="shared" si="17"/>
        <v>0</v>
      </c>
      <c r="Q87" s="1207"/>
      <c r="R87" s="1202"/>
      <c r="S87" s="470">
        <v>1</v>
      </c>
      <c r="T87" s="991">
        <f t="shared" si="18"/>
        <v>0</v>
      </c>
      <c r="U87" s="1008">
        <v>186022056.28999999</v>
      </c>
    </row>
    <row r="88" spans="1:21" ht="15.75">
      <c r="A88" s="473">
        <v>82</v>
      </c>
      <c r="B88" s="819" t="s">
        <v>927</v>
      </c>
      <c r="C88" s="465">
        <v>63200132</v>
      </c>
      <c r="D88" s="470">
        <v>2</v>
      </c>
      <c r="E88" s="819" t="s">
        <v>1314</v>
      </c>
      <c r="F88" s="473"/>
      <c r="G88" s="470"/>
      <c r="H88" s="470">
        <v>2</v>
      </c>
      <c r="I88" s="470"/>
      <c r="J88" s="470"/>
      <c r="K88" s="488">
        <v>2635101.98</v>
      </c>
      <c r="L88" s="1007">
        <f t="shared" si="13"/>
        <v>5270203.96</v>
      </c>
      <c r="M88" s="1007">
        <f t="shared" si="14"/>
        <v>0</v>
      </c>
      <c r="N88" s="1007">
        <f t="shared" si="15"/>
        <v>5270203.96</v>
      </c>
      <c r="O88" s="1007">
        <f t="shared" si="16"/>
        <v>0</v>
      </c>
      <c r="P88" s="1007">
        <f t="shared" si="17"/>
        <v>0</v>
      </c>
      <c r="Q88" s="1207"/>
      <c r="R88" s="1202"/>
      <c r="S88" s="470">
        <v>2</v>
      </c>
      <c r="T88" s="991">
        <f t="shared" si="18"/>
        <v>0</v>
      </c>
      <c r="U88" s="1008">
        <v>4752822.66</v>
      </c>
    </row>
    <row r="89" spans="1:21" ht="15.75">
      <c r="A89" s="473">
        <v>83</v>
      </c>
      <c r="B89" s="819" t="s">
        <v>927</v>
      </c>
      <c r="C89" s="465">
        <v>63200130</v>
      </c>
      <c r="D89" s="470">
        <v>2</v>
      </c>
      <c r="E89" s="819" t="s">
        <v>1314</v>
      </c>
      <c r="F89" s="473"/>
      <c r="G89" s="470"/>
      <c r="H89" s="470">
        <v>2</v>
      </c>
      <c r="I89" s="470"/>
      <c r="J89" s="470"/>
      <c r="K89" s="488">
        <v>2123431.69</v>
      </c>
      <c r="L89" s="1007">
        <f t="shared" si="13"/>
        <v>4246863.38</v>
      </c>
      <c r="M89" s="1007">
        <f t="shared" si="14"/>
        <v>0</v>
      </c>
      <c r="N89" s="1007">
        <f t="shared" si="15"/>
        <v>4246863.38</v>
      </c>
      <c r="O89" s="1007">
        <f t="shared" si="16"/>
        <v>0</v>
      </c>
      <c r="P89" s="1007">
        <f t="shared" si="17"/>
        <v>0</v>
      </c>
      <c r="Q89" s="1207"/>
      <c r="R89" s="1202"/>
      <c r="S89" s="470">
        <v>2</v>
      </c>
      <c r="T89" s="991">
        <f t="shared" si="18"/>
        <v>0</v>
      </c>
      <c r="U89" s="1008">
        <v>3829944.48</v>
      </c>
    </row>
    <row r="90" spans="1:21" ht="15.75">
      <c r="A90" s="473">
        <v>84</v>
      </c>
      <c r="B90" s="819" t="s">
        <v>927</v>
      </c>
      <c r="C90" s="465">
        <v>63200131</v>
      </c>
      <c r="D90" s="470">
        <v>2</v>
      </c>
      <c r="E90" s="819" t="s">
        <v>1314</v>
      </c>
      <c r="F90" s="473"/>
      <c r="G90" s="470"/>
      <c r="H90" s="470">
        <v>2</v>
      </c>
      <c r="I90" s="470"/>
      <c r="J90" s="470"/>
      <c r="K90" s="488">
        <v>2353683.3199999998</v>
      </c>
      <c r="L90" s="1007">
        <f t="shared" si="13"/>
        <v>4707366.6399999997</v>
      </c>
      <c r="M90" s="1007">
        <f t="shared" si="14"/>
        <v>0</v>
      </c>
      <c r="N90" s="1007">
        <f t="shared" si="15"/>
        <v>4707366.6399999997</v>
      </c>
      <c r="O90" s="1007">
        <f t="shared" si="16"/>
        <v>0</v>
      </c>
      <c r="P90" s="1007">
        <f t="shared" si="17"/>
        <v>0</v>
      </c>
      <c r="Q90" s="1207"/>
      <c r="R90" s="1202"/>
      <c r="S90" s="470">
        <v>2</v>
      </c>
      <c r="T90" s="991">
        <f t="shared" si="18"/>
        <v>0</v>
      </c>
      <c r="U90" s="1008">
        <v>4245239.66</v>
      </c>
    </row>
    <row r="91" spans="1:21" ht="15.75">
      <c r="A91" s="473">
        <v>85</v>
      </c>
      <c r="B91" s="819" t="s">
        <v>927</v>
      </c>
      <c r="C91" s="465">
        <v>63200129</v>
      </c>
      <c r="D91" s="470">
        <v>2</v>
      </c>
      <c r="E91" s="819" t="s">
        <v>1314</v>
      </c>
      <c r="F91" s="473"/>
      <c r="G91" s="470"/>
      <c r="H91" s="470">
        <v>2</v>
      </c>
      <c r="I91" s="470"/>
      <c r="J91" s="470"/>
      <c r="K91" s="488">
        <v>1151258.1499999999</v>
      </c>
      <c r="L91" s="1007">
        <f t="shared" si="13"/>
        <v>2302516.2999999998</v>
      </c>
      <c r="M91" s="1007">
        <f t="shared" si="14"/>
        <v>0</v>
      </c>
      <c r="N91" s="1007">
        <f t="shared" si="15"/>
        <v>2302516.2999999998</v>
      </c>
      <c r="O91" s="1007">
        <f t="shared" si="16"/>
        <v>0</v>
      </c>
      <c r="P91" s="1007">
        <f t="shared" si="17"/>
        <v>0</v>
      </c>
      <c r="Q91" s="1207"/>
      <c r="R91" s="1202"/>
      <c r="S91" s="470">
        <v>2</v>
      </c>
      <c r="T91" s="991">
        <f t="shared" si="18"/>
        <v>0</v>
      </c>
      <c r="U91" s="1008">
        <v>2076475.92</v>
      </c>
    </row>
    <row r="92" spans="1:21" ht="15.75">
      <c r="A92" s="473">
        <v>86</v>
      </c>
      <c r="B92" s="819" t="s">
        <v>1353</v>
      </c>
      <c r="C92" s="819">
        <v>63400110</v>
      </c>
      <c r="D92" s="470">
        <v>60</v>
      </c>
      <c r="E92" s="819" t="s">
        <v>1314</v>
      </c>
      <c r="F92" s="473"/>
      <c r="G92" s="470"/>
      <c r="H92" s="470">
        <v>20</v>
      </c>
      <c r="I92" s="470">
        <v>20</v>
      </c>
      <c r="J92" s="470">
        <v>20</v>
      </c>
      <c r="K92" s="488">
        <v>3581692.01</v>
      </c>
      <c r="L92" s="1007">
        <f t="shared" si="13"/>
        <v>214901520.59999999</v>
      </c>
      <c r="M92" s="1007">
        <f t="shared" si="14"/>
        <v>0</v>
      </c>
      <c r="N92" s="1007">
        <f t="shared" si="15"/>
        <v>71633840.199999988</v>
      </c>
      <c r="O92" s="1007">
        <f t="shared" si="16"/>
        <v>71633840.199999988</v>
      </c>
      <c r="P92" s="1007">
        <f t="shared" si="17"/>
        <v>71633840.199999988</v>
      </c>
      <c r="Q92" s="1207"/>
      <c r="R92" s="1202"/>
      <c r="S92" s="470">
        <v>20</v>
      </c>
      <c r="T92" s="991">
        <f t="shared" si="18"/>
        <v>40</v>
      </c>
      <c r="U92" s="1008">
        <v>64601473.200000003</v>
      </c>
    </row>
    <row r="93" spans="1:21" ht="15.75">
      <c r="A93" s="473">
        <v>87</v>
      </c>
      <c r="B93" s="819" t="s">
        <v>1354</v>
      </c>
      <c r="C93" s="465">
        <v>63200162</v>
      </c>
      <c r="D93" s="470">
        <v>60</v>
      </c>
      <c r="E93" s="819" t="s">
        <v>1314</v>
      </c>
      <c r="F93" s="473"/>
      <c r="G93" s="470"/>
      <c r="H93" s="470">
        <v>20</v>
      </c>
      <c r="I93" s="470">
        <v>20</v>
      </c>
      <c r="J93" s="470">
        <v>20</v>
      </c>
      <c r="K93" s="488">
        <v>7393635.6399999997</v>
      </c>
      <c r="L93" s="1007">
        <f t="shared" si="13"/>
        <v>443618138.39999998</v>
      </c>
      <c r="M93" s="1007">
        <f t="shared" si="14"/>
        <v>0</v>
      </c>
      <c r="N93" s="1007">
        <f t="shared" si="15"/>
        <v>147872712.79999998</v>
      </c>
      <c r="O93" s="1007">
        <f t="shared" si="16"/>
        <v>147872712.79999998</v>
      </c>
      <c r="P93" s="1007">
        <f t="shared" si="17"/>
        <v>147872712.79999998</v>
      </c>
      <c r="Q93" s="1207"/>
      <c r="R93" s="1202"/>
      <c r="S93" s="470">
        <v>20</v>
      </c>
      <c r="T93" s="991">
        <f t="shared" si="18"/>
        <v>40</v>
      </c>
      <c r="U93" s="1008">
        <v>143311684</v>
      </c>
    </row>
    <row r="94" spans="1:21" ht="15.75">
      <c r="A94" s="473">
        <v>88</v>
      </c>
      <c r="B94" s="819" t="s">
        <v>1356</v>
      </c>
      <c r="C94" s="465">
        <v>64500110</v>
      </c>
      <c r="D94" s="470">
        <v>2</v>
      </c>
      <c r="E94" s="819" t="s">
        <v>1314</v>
      </c>
      <c r="F94" s="819" t="s">
        <v>1994</v>
      </c>
      <c r="G94" s="470"/>
      <c r="H94" s="470">
        <v>2</v>
      </c>
      <c r="I94" s="470"/>
      <c r="J94" s="470"/>
      <c r="K94" s="488">
        <v>741921.92</v>
      </c>
      <c r="L94" s="1007">
        <f t="shared" si="13"/>
        <v>1483843.84</v>
      </c>
      <c r="M94" s="1007">
        <f t="shared" si="14"/>
        <v>0</v>
      </c>
      <c r="N94" s="1007">
        <f t="shared" si="15"/>
        <v>1483843.84</v>
      </c>
      <c r="O94" s="1007">
        <f t="shared" si="16"/>
        <v>0</v>
      </c>
      <c r="P94" s="1007">
        <f t="shared" si="17"/>
        <v>0</v>
      </c>
      <c r="Q94" s="1207"/>
      <c r="R94" s="1202"/>
      <c r="S94" s="470">
        <v>2</v>
      </c>
      <c r="T94" s="991">
        <f t="shared" si="18"/>
        <v>0</v>
      </c>
      <c r="U94" s="1008">
        <v>1338173.3600000001</v>
      </c>
    </row>
    <row r="95" spans="1:21" ht="15.75">
      <c r="A95" s="473">
        <v>89</v>
      </c>
      <c r="B95" s="819" t="s">
        <v>1357</v>
      </c>
      <c r="C95" s="465">
        <v>64500111</v>
      </c>
      <c r="D95" s="470">
        <v>4</v>
      </c>
      <c r="E95" s="819" t="s">
        <v>1314</v>
      </c>
      <c r="F95" s="473"/>
      <c r="G95" s="470"/>
      <c r="H95" s="470">
        <v>2</v>
      </c>
      <c r="I95" s="470">
        <v>2</v>
      </c>
      <c r="J95" s="470"/>
      <c r="K95" s="488">
        <v>199267.15</v>
      </c>
      <c r="L95" s="1007">
        <f t="shared" si="13"/>
        <v>797068.6</v>
      </c>
      <c r="M95" s="1007">
        <f t="shared" si="14"/>
        <v>0</v>
      </c>
      <c r="N95" s="1007">
        <f t="shared" si="15"/>
        <v>398534.3</v>
      </c>
      <c r="O95" s="1007">
        <f t="shared" si="16"/>
        <v>398534.3</v>
      </c>
      <c r="P95" s="1007">
        <f t="shared" si="17"/>
        <v>0</v>
      </c>
      <c r="Q95" s="1207"/>
      <c r="R95" s="1202"/>
      <c r="S95" s="470">
        <v>2</v>
      </c>
      <c r="T95" s="991">
        <f t="shared" si="18"/>
        <v>2</v>
      </c>
      <c r="U95" s="1008">
        <v>359409.78</v>
      </c>
    </row>
    <row r="96" spans="1:21" ht="15.75">
      <c r="A96" s="473">
        <v>90</v>
      </c>
      <c r="B96" s="819" t="s">
        <v>1354</v>
      </c>
      <c r="C96" s="465">
        <v>63200163</v>
      </c>
      <c r="D96" s="470">
        <v>5</v>
      </c>
      <c r="E96" s="819" t="s">
        <v>1314</v>
      </c>
      <c r="F96" s="473"/>
      <c r="G96" s="470"/>
      <c r="H96" s="470"/>
      <c r="I96" s="470">
        <v>5</v>
      </c>
      <c r="J96" s="470"/>
      <c r="K96" s="488">
        <v>3377023.89</v>
      </c>
      <c r="L96" s="1007">
        <f t="shared" si="13"/>
        <v>16885119.449999999</v>
      </c>
      <c r="M96" s="1007">
        <f t="shared" si="14"/>
        <v>0</v>
      </c>
      <c r="N96" s="1007">
        <f t="shared" si="15"/>
        <v>0</v>
      </c>
      <c r="O96" s="1007">
        <f t="shared" si="16"/>
        <v>16885119.449999999</v>
      </c>
      <c r="P96" s="1007">
        <f t="shared" si="17"/>
        <v>0</v>
      </c>
      <c r="Q96" s="1207"/>
      <c r="R96" s="1202"/>
      <c r="S96" s="470"/>
      <c r="T96" s="991">
        <f t="shared" si="18"/>
        <v>5</v>
      </c>
      <c r="U96" s="1008"/>
    </row>
    <row r="97" spans="1:21" ht="15.75">
      <c r="A97" s="473">
        <v>91</v>
      </c>
      <c r="B97" s="819" t="s">
        <v>1358</v>
      </c>
      <c r="C97" s="465">
        <v>63400108</v>
      </c>
      <c r="D97" s="470">
        <v>5</v>
      </c>
      <c r="E97" s="819" t="s">
        <v>1314</v>
      </c>
      <c r="F97" s="473"/>
      <c r="G97" s="470"/>
      <c r="H97" s="470"/>
      <c r="I97" s="470">
        <v>5</v>
      </c>
      <c r="J97" s="470"/>
      <c r="K97" s="488">
        <v>358169.2</v>
      </c>
      <c r="L97" s="1007">
        <f t="shared" si="13"/>
        <v>1790846</v>
      </c>
      <c r="M97" s="1007">
        <f t="shared" si="14"/>
        <v>0</v>
      </c>
      <c r="N97" s="1007">
        <f t="shared" si="15"/>
        <v>0</v>
      </c>
      <c r="O97" s="1007">
        <f t="shared" si="16"/>
        <v>1790846</v>
      </c>
      <c r="P97" s="1007">
        <f t="shared" si="17"/>
        <v>0</v>
      </c>
      <c r="Q97" s="1207"/>
      <c r="R97" s="1202"/>
      <c r="S97" s="470"/>
      <c r="T97" s="991">
        <f t="shared" si="18"/>
        <v>5</v>
      </c>
      <c r="U97" s="1008"/>
    </row>
    <row r="98" spans="1:21" ht="15.75">
      <c r="A98" s="473">
        <v>92</v>
      </c>
      <c r="B98" s="819" t="s">
        <v>1359</v>
      </c>
      <c r="C98" s="465">
        <v>63400324</v>
      </c>
      <c r="D98" s="470">
        <v>5</v>
      </c>
      <c r="E98" s="819" t="s">
        <v>1314</v>
      </c>
      <c r="F98" s="473"/>
      <c r="G98" s="470"/>
      <c r="H98" s="470"/>
      <c r="I98" s="470">
        <v>5</v>
      </c>
      <c r="J98" s="470"/>
      <c r="K98" s="488">
        <v>170841.02</v>
      </c>
      <c r="L98" s="1007">
        <f t="shared" si="13"/>
        <v>854205.1</v>
      </c>
      <c r="M98" s="1007">
        <f t="shared" si="14"/>
        <v>0</v>
      </c>
      <c r="N98" s="1007">
        <f t="shared" si="15"/>
        <v>0</v>
      </c>
      <c r="O98" s="1007">
        <f t="shared" si="16"/>
        <v>854205.1</v>
      </c>
      <c r="P98" s="1007">
        <f t="shared" si="17"/>
        <v>0</v>
      </c>
      <c r="Q98" s="1207"/>
      <c r="R98" s="1202"/>
      <c r="S98" s="470"/>
      <c r="T98" s="991">
        <f t="shared" si="18"/>
        <v>5</v>
      </c>
      <c r="U98" s="1008"/>
    </row>
    <row r="99" spans="1:21" ht="15.75">
      <c r="A99" s="473">
        <v>93</v>
      </c>
      <c r="B99" s="819" t="s">
        <v>1360</v>
      </c>
      <c r="C99" s="465">
        <v>63400255</v>
      </c>
      <c r="D99" s="470">
        <v>60</v>
      </c>
      <c r="E99" s="819" t="s">
        <v>1314</v>
      </c>
      <c r="F99" s="819" t="s">
        <v>1996</v>
      </c>
      <c r="G99" s="470"/>
      <c r="H99" s="470">
        <v>20</v>
      </c>
      <c r="I99" s="470">
        <v>20</v>
      </c>
      <c r="J99" s="470">
        <v>20</v>
      </c>
      <c r="K99" s="488">
        <v>5346954.5</v>
      </c>
      <c r="L99" s="1007">
        <f t="shared" ref="L99:L162" si="19">K99*D99</f>
        <v>320817270</v>
      </c>
      <c r="M99" s="1007">
        <f t="shared" ref="M99:M162" si="20">K99*G99</f>
        <v>0</v>
      </c>
      <c r="N99" s="1007">
        <f t="shared" ref="N99:N162" si="21">K99*H99</f>
        <v>106939090</v>
      </c>
      <c r="O99" s="1007">
        <f t="shared" ref="O99:O162" si="22">K99*I99</f>
        <v>106939090</v>
      </c>
      <c r="P99" s="1007">
        <f t="shared" ref="P99:P162" si="23">K99*J99</f>
        <v>106939090</v>
      </c>
      <c r="Q99" s="1207"/>
      <c r="R99" s="1202"/>
      <c r="S99" s="470">
        <v>20</v>
      </c>
      <c r="T99" s="991">
        <f t="shared" ref="T99:T162" si="24">G99+H99+I99+J99-S99</f>
        <v>40</v>
      </c>
      <c r="U99" s="1008">
        <v>192881541.59999999</v>
      </c>
    </row>
    <row r="100" spans="1:21" ht="15.75">
      <c r="A100" s="473">
        <v>94</v>
      </c>
      <c r="B100" s="819" t="s">
        <v>1361</v>
      </c>
      <c r="C100" s="465">
        <v>80200112</v>
      </c>
      <c r="D100" s="470">
        <v>300</v>
      </c>
      <c r="E100" s="819" t="s">
        <v>1314</v>
      </c>
      <c r="F100" s="473"/>
      <c r="G100" s="470"/>
      <c r="H100" s="470">
        <v>100</v>
      </c>
      <c r="I100" s="470">
        <v>100</v>
      </c>
      <c r="J100" s="470">
        <v>100</v>
      </c>
      <c r="K100" s="488">
        <v>307002.17</v>
      </c>
      <c r="L100" s="1007">
        <f t="shared" si="19"/>
        <v>92100651</v>
      </c>
      <c r="M100" s="1007">
        <f t="shared" si="20"/>
        <v>0</v>
      </c>
      <c r="N100" s="1007">
        <f t="shared" si="21"/>
        <v>30700217</v>
      </c>
      <c r="O100" s="1007">
        <f t="shared" si="22"/>
        <v>30700217</v>
      </c>
      <c r="P100" s="1007">
        <f t="shared" si="23"/>
        <v>30700217</v>
      </c>
      <c r="Q100" s="1207"/>
      <c r="R100" s="1202"/>
      <c r="S100" s="470">
        <v>100</v>
      </c>
      <c r="T100" s="991">
        <f t="shared" si="24"/>
        <v>200</v>
      </c>
      <c r="U100" s="1008">
        <v>27686345</v>
      </c>
    </row>
    <row r="101" spans="1:21" ht="15.75">
      <c r="A101" s="473">
        <v>95</v>
      </c>
      <c r="B101" s="819" t="s">
        <v>1362</v>
      </c>
      <c r="C101" s="465">
        <v>80200133</v>
      </c>
      <c r="D101" s="470">
        <v>300</v>
      </c>
      <c r="E101" s="819" t="s">
        <v>1314</v>
      </c>
      <c r="F101" s="473"/>
      <c r="G101" s="470"/>
      <c r="H101" s="470">
        <v>100</v>
      </c>
      <c r="I101" s="470">
        <v>100</v>
      </c>
      <c r="J101" s="470">
        <v>100</v>
      </c>
      <c r="K101" s="488">
        <v>29877.95</v>
      </c>
      <c r="L101" s="1007">
        <f t="shared" si="19"/>
        <v>8963385</v>
      </c>
      <c r="M101" s="1007">
        <f t="shared" si="20"/>
        <v>0</v>
      </c>
      <c r="N101" s="1007">
        <f t="shared" si="21"/>
        <v>2987795</v>
      </c>
      <c r="O101" s="1007">
        <f t="shared" si="22"/>
        <v>2987795</v>
      </c>
      <c r="P101" s="1007">
        <f t="shared" si="23"/>
        <v>2987795</v>
      </c>
      <c r="Q101" s="1207"/>
      <c r="R101" s="1202"/>
      <c r="S101" s="470">
        <v>100</v>
      </c>
      <c r="T101" s="991">
        <f t="shared" si="24"/>
        <v>200</v>
      </c>
      <c r="U101" s="1008">
        <v>1921518</v>
      </c>
    </row>
    <row r="102" spans="1:21" ht="15.75">
      <c r="A102" s="473">
        <v>96</v>
      </c>
      <c r="B102" s="819" t="s">
        <v>1363</v>
      </c>
      <c r="C102" s="465">
        <v>63500206</v>
      </c>
      <c r="D102" s="470">
        <v>2</v>
      </c>
      <c r="E102" s="819" t="s">
        <v>1314</v>
      </c>
      <c r="F102" s="473"/>
      <c r="G102" s="470"/>
      <c r="H102" s="470">
        <v>2</v>
      </c>
      <c r="I102" s="470"/>
      <c r="J102" s="470"/>
      <c r="K102" s="488">
        <v>31024275.050000001</v>
      </c>
      <c r="L102" s="1007">
        <f t="shared" si="19"/>
        <v>62048550.100000001</v>
      </c>
      <c r="M102" s="1007">
        <f t="shared" si="20"/>
        <v>0</v>
      </c>
      <c r="N102" s="1007">
        <f t="shared" si="21"/>
        <v>62048550.100000001</v>
      </c>
      <c r="O102" s="1007">
        <f t="shared" si="22"/>
        <v>0</v>
      </c>
      <c r="P102" s="1007">
        <f t="shared" si="23"/>
        <v>0</v>
      </c>
      <c r="Q102" s="1207"/>
      <c r="R102" s="1202"/>
      <c r="S102" s="470">
        <v>2</v>
      </c>
      <c r="T102" s="991">
        <f t="shared" si="24"/>
        <v>0</v>
      </c>
      <c r="U102" s="1008">
        <v>49934011.700000003</v>
      </c>
    </row>
    <row r="103" spans="1:21" ht="15.75">
      <c r="A103" s="473">
        <v>97</v>
      </c>
      <c r="B103" s="819" t="s">
        <v>1364</v>
      </c>
      <c r="C103" s="477">
        <v>63500207</v>
      </c>
      <c r="D103" s="470">
        <v>40</v>
      </c>
      <c r="E103" s="819" t="s">
        <v>1314</v>
      </c>
      <c r="F103" s="819" t="s">
        <v>1994</v>
      </c>
      <c r="G103" s="470"/>
      <c r="H103" s="470">
        <v>20</v>
      </c>
      <c r="I103" s="470">
        <v>20</v>
      </c>
      <c r="J103" s="470"/>
      <c r="K103" s="488">
        <v>31024275.050000001</v>
      </c>
      <c r="L103" s="1007">
        <f t="shared" si="19"/>
        <v>1240971002</v>
      </c>
      <c r="M103" s="1007">
        <f t="shared" si="20"/>
        <v>0</v>
      </c>
      <c r="N103" s="1007">
        <f t="shared" si="21"/>
        <v>620485501</v>
      </c>
      <c r="O103" s="1007">
        <f t="shared" si="22"/>
        <v>620485501</v>
      </c>
      <c r="P103" s="1007">
        <f t="shared" si="23"/>
        <v>0</v>
      </c>
      <c r="Q103" s="1207"/>
      <c r="R103" s="1202"/>
      <c r="S103" s="470">
        <v>20</v>
      </c>
      <c r="T103" s="991">
        <f t="shared" si="24"/>
        <v>20</v>
      </c>
      <c r="U103" s="1008">
        <v>601347066.79999995</v>
      </c>
    </row>
    <row r="104" spans="1:21" ht="15.75">
      <c r="A104" s="473">
        <v>98</v>
      </c>
      <c r="B104" s="819" t="s">
        <v>1365</v>
      </c>
      <c r="C104" s="477">
        <v>63500208</v>
      </c>
      <c r="D104" s="470">
        <v>40</v>
      </c>
      <c r="E104" s="819" t="s">
        <v>1314</v>
      </c>
      <c r="F104" s="819" t="s">
        <v>1994</v>
      </c>
      <c r="G104" s="470"/>
      <c r="H104" s="470">
        <v>20</v>
      </c>
      <c r="I104" s="470">
        <v>20</v>
      </c>
      <c r="J104" s="470"/>
      <c r="K104" s="488">
        <v>31024275.050000001</v>
      </c>
      <c r="L104" s="1007">
        <f t="shared" si="19"/>
        <v>1240971002</v>
      </c>
      <c r="M104" s="1007">
        <f t="shared" si="20"/>
        <v>0</v>
      </c>
      <c r="N104" s="1007">
        <f t="shared" si="21"/>
        <v>620485501</v>
      </c>
      <c r="O104" s="1007">
        <f t="shared" si="22"/>
        <v>620485501</v>
      </c>
      <c r="P104" s="1007">
        <f t="shared" si="23"/>
        <v>0</v>
      </c>
      <c r="Q104" s="1207"/>
      <c r="R104" s="1202"/>
      <c r="S104" s="470">
        <v>20</v>
      </c>
      <c r="T104" s="991">
        <f t="shared" si="24"/>
        <v>20</v>
      </c>
      <c r="U104" s="1008">
        <v>601347066.79999995</v>
      </c>
    </row>
    <row r="105" spans="1:21" ht="15.75">
      <c r="A105" s="473">
        <v>99</v>
      </c>
      <c r="B105" s="819" t="s">
        <v>1366</v>
      </c>
      <c r="C105" s="477">
        <v>63500209</v>
      </c>
      <c r="D105" s="470">
        <v>15</v>
      </c>
      <c r="E105" s="819" t="s">
        <v>1314</v>
      </c>
      <c r="F105" s="819" t="s">
        <v>1994</v>
      </c>
      <c r="G105" s="470"/>
      <c r="H105" s="470">
        <v>5</v>
      </c>
      <c r="I105" s="470">
        <v>5</v>
      </c>
      <c r="J105" s="470">
        <v>5</v>
      </c>
      <c r="K105" s="488">
        <v>31024275.050000001</v>
      </c>
      <c r="L105" s="1007">
        <f t="shared" si="19"/>
        <v>465364125.75</v>
      </c>
      <c r="M105" s="1007">
        <f t="shared" si="20"/>
        <v>0</v>
      </c>
      <c r="N105" s="1007">
        <f t="shared" si="21"/>
        <v>155121375.25</v>
      </c>
      <c r="O105" s="1007">
        <f t="shared" si="22"/>
        <v>155121375.25</v>
      </c>
      <c r="P105" s="1007">
        <f t="shared" si="23"/>
        <v>155121375.25</v>
      </c>
      <c r="Q105" s="1207"/>
      <c r="R105" s="1202"/>
      <c r="S105" s="470">
        <v>5</v>
      </c>
      <c r="T105" s="991">
        <f t="shared" si="24"/>
        <v>10</v>
      </c>
      <c r="U105" s="1008">
        <v>140937333.75</v>
      </c>
    </row>
    <row r="106" spans="1:21" ht="15.75">
      <c r="A106" s="473">
        <v>100</v>
      </c>
      <c r="B106" s="819" t="s">
        <v>1367</v>
      </c>
      <c r="C106" s="465">
        <v>63100125</v>
      </c>
      <c r="D106" s="470">
        <v>20</v>
      </c>
      <c r="E106" s="819" t="s">
        <v>1314</v>
      </c>
      <c r="F106" s="819" t="s">
        <v>1994</v>
      </c>
      <c r="G106" s="470"/>
      <c r="H106" s="470">
        <v>10</v>
      </c>
      <c r="I106" s="470">
        <v>10</v>
      </c>
      <c r="J106" s="470"/>
      <c r="K106" s="488">
        <v>142414.9</v>
      </c>
      <c r="L106" s="1007">
        <f t="shared" si="19"/>
        <v>2848298</v>
      </c>
      <c r="M106" s="1007">
        <f t="shared" si="20"/>
        <v>0</v>
      </c>
      <c r="N106" s="1007">
        <f t="shared" si="21"/>
        <v>1424149</v>
      </c>
      <c r="O106" s="1007">
        <f t="shared" si="22"/>
        <v>1424149</v>
      </c>
      <c r="P106" s="1007">
        <f t="shared" si="23"/>
        <v>0</v>
      </c>
      <c r="Q106" s="1207"/>
      <c r="R106" s="1202"/>
      <c r="S106" s="470">
        <v>10</v>
      </c>
      <c r="T106" s="991">
        <f t="shared" si="24"/>
        <v>10</v>
      </c>
      <c r="U106" s="1008">
        <v>1284338.8</v>
      </c>
    </row>
    <row r="107" spans="1:21" ht="15.75">
      <c r="A107" s="473">
        <v>101</v>
      </c>
      <c r="B107" s="819" t="s">
        <v>1368</v>
      </c>
      <c r="C107" s="465">
        <v>63100126</v>
      </c>
      <c r="D107" s="470">
        <v>20</v>
      </c>
      <c r="E107" s="819" t="s">
        <v>1314</v>
      </c>
      <c r="F107" s="819" t="s">
        <v>1994</v>
      </c>
      <c r="G107" s="470"/>
      <c r="H107" s="470">
        <v>10</v>
      </c>
      <c r="I107" s="470">
        <v>10</v>
      </c>
      <c r="J107" s="470"/>
      <c r="K107" s="488">
        <v>170841.02</v>
      </c>
      <c r="L107" s="1007">
        <f t="shared" si="19"/>
        <v>3416820.4</v>
      </c>
      <c r="M107" s="1007">
        <f t="shared" si="20"/>
        <v>0</v>
      </c>
      <c r="N107" s="1007">
        <f t="shared" si="21"/>
        <v>1708410.2</v>
      </c>
      <c r="O107" s="1007">
        <f t="shared" si="22"/>
        <v>1708410.2</v>
      </c>
      <c r="P107" s="1007">
        <f t="shared" si="23"/>
        <v>0</v>
      </c>
      <c r="Q107" s="1207"/>
      <c r="R107" s="1202"/>
      <c r="S107" s="470">
        <v>10</v>
      </c>
      <c r="T107" s="991">
        <f t="shared" si="24"/>
        <v>10</v>
      </c>
      <c r="U107" s="1008">
        <v>1540693.8</v>
      </c>
    </row>
    <row r="108" spans="1:21" ht="15.75">
      <c r="A108" s="473">
        <v>102</v>
      </c>
      <c r="B108" s="819" t="s">
        <v>1369</v>
      </c>
      <c r="C108" s="465">
        <v>63100127</v>
      </c>
      <c r="D108" s="470">
        <v>10</v>
      </c>
      <c r="E108" s="819" t="s">
        <v>1314</v>
      </c>
      <c r="F108" s="819" t="s">
        <v>1994</v>
      </c>
      <c r="G108" s="470"/>
      <c r="H108" s="470">
        <v>10</v>
      </c>
      <c r="I108" s="470"/>
      <c r="J108" s="470"/>
      <c r="K108" s="488">
        <v>170841.02</v>
      </c>
      <c r="L108" s="1007">
        <f t="shared" si="19"/>
        <v>1708410.2</v>
      </c>
      <c r="M108" s="1007">
        <f t="shared" si="20"/>
        <v>0</v>
      </c>
      <c r="N108" s="1007">
        <f t="shared" si="21"/>
        <v>1708410.2</v>
      </c>
      <c r="O108" s="1007">
        <f t="shared" si="22"/>
        <v>0</v>
      </c>
      <c r="P108" s="1007">
        <f t="shared" si="23"/>
        <v>0</v>
      </c>
      <c r="Q108" s="1207"/>
      <c r="R108" s="1202"/>
      <c r="S108" s="470">
        <v>10</v>
      </c>
      <c r="T108" s="991">
        <f t="shared" si="24"/>
        <v>0</v>
      </c>
      <c r="U108" s="1008">
        <v>1540693.8</v>
      </c>
    </row>
    <row r="109" spans="1:21" ht="15.75">
      <c r="A109" s="473">
        <v>103</v>
      </c>
      <c r="B109" s="819" t="s">
        <v>1370</v>
      </c>
      <c r="C109" s="465">
        <v>63500236</v>
      </c>
      <c r="D109" s="470">
        <v>2</v>
      </c>
      <c r="E109" s="819" t="s">
        <v>1314</v>
      </c>
      <c r="F109" s="819"/>
      <c r="G109" s="470"/>
      <c r="H109" s="470">
        <v>2</v>
      </c>
      <c r="I109" s="470"/>
      <c r="J109" s="470"/>
      <c r="K109" s="488">
        <v>5194874.72</v>
      </c>
      <c r="L109" s="1007">
        <f t="shared" si="19"/>
        <v>10389749.439999999</v>
      </c>
      <c r="M109" s="1007">
        <f t="shared" si="20"/>
        <v>0</v>
      </c>
      <c r="N109" s="1007">
        <f t="shared" si="21"/>
        <v>10389749.439999999</v>
      </c>
      <c r="O109" s="1007">
        <f t="shared" si="22"/>
        <v>0</v>
      </c>
      <c r="P109" s="1007">
        <f t="shared" si="23"/>
        <v>0</v>
      </c>
      <c r="Q109" s="1207"/>
      <c r="R109" s="1202"/>
      <c r="S109" s="470">
        <v>2</v>
      </c>
      <c r="T109" s="991">
        <f t="shared" si="24"/>
        <v>0</v>
      </c>
      <c r="U109" s="1008">
        <v>10069285</v>
      </c>
    </row>
    <row r="110" spans="1:21" ht="15.75">
      <c r="A110" s="473">
        <v>104</v>
      </c>
      <c r="B110" s="819" t="s">
        <v>1371</v>
      </c>
      <c r="C110" s="465">
        <v>63500237</v>
      </c>
      <c r="D110" s="470">
        <v>2</v>
      </c>
      <c r="E110" s="819" t="s">
        <v>1314</v>
      </c>
      <c r="F110" s="819"/>
      <c r="G110" s="470"/>
      <c r="H110" s="470">
        <v>2</v>
      </c>
      <c r="I110" s="470"/>
      <c r="J110" s="470"/>
      <c r="K110" s="488">
        <v>5194874.72</v>
      </c>
      <c r="L110" s="1007">
        <f t="shared" si="19"/>
        <v>10389749.439999999</v>
      </c>
      <c r="M110" s="1007">
        <f t="shared" si="20"/>
        <v>0</v>
      </c>
      <c r="N110" s="1007">
        <f t="shared" si="21"/>
        <v>10389749.439999999</v>
      </c>
      <c r="O110" s="1007">
        <f t="shared" si="22"/>
        <v>0</v>
      </c>
      <c r="P110" s="1007">
        <f t="shared" si="23"/>
        <v>0</v>
      </c>
      <c r="Q110" s="1207"/>
      <c r="R110" s="1202"/>
      <c r="S110" s="470">
        <v>2</v>
      </c>
      <c r="T110" s="991">
        <f t="shared" si="24"/>
        <v>0</v>
      </c>
      <c r="U110" s="1008">
        <v>10069285</v>
      </c>
    </row>
    <row r="111" spans="1:21" ht="15.75">
      <c r="A111" s="473">
        <v>105</v>
      </c>
      <c r="B111" s="819" t="s">
        <v>1372</v>
      </c>
      <c r="C111" s="465">
        <v>63400331</v>
      </c>
      <c r="D111" s="470">
        <v>2</v>
      </c>
      <c r="E111" s="819" t="s">
        <v>1314</v>
      </c>
      <c r="F111" s="473"/>
      <c r="G111" s="470"/>
      <c r="H111" s="470">
        <v>2</v>
      </c>
      <c r="I111" s="470"/>
      <c r="J111" s="470"/>
      <c r="K111" s="488">
        <v>2046684.15</v>
      </c>
      <c r="L111" s="1007">
        <f t="shared" si="19"/>
        <v>4093368.3</v>
      </c>
      <c r="M111" s="1007">
        <f t="shared" si="20"/>
        <v>0</v>
      </c>
      <c r="N111" s="1007">
        <f t="shared" si="21"/>
        <v>4093368.3</v>
      </c>
      <c r="O111" s="1007">
        <f t="shared" si="22"/>
        <v>0</v>
      </c>
      <c r="P111" s="1007">
        <f t="shared" si="23"/>
        <v>0</v>
      </c>
      <c r="Q111" s="1207"/>
      <c r="R111" s="1202"/>
      <c r="S111" s="470">
        <v>2</v>
      </c>
      <c r="T111" s="991">
        <f t="shared" si="24"/>
        <v>0</v>
      </c>
      <c r="U111" s="1008">
        <v>3691512.76</v>
      </c>
    </row>
    <row r="112" spans="1:21" ht="15.75">
      <c r="A112" s="473">
        <v>106</v>
      </c>
      <c r="B112" s="819" t="s">
        <v>1373</v>
      </c>
      <c r="C112" s="465">
        <v>63500326</v>
      </c>
      <c r="D112" s="470">
        <v>4</v>
      </c>
      <c r="E112" s="819" t="s">
        <v>1314</v>
      </c>
      <c r="F112" s="473"/>
      <c r="G112" s="470"/>
      <c r="H112" s="470">
        <v>4</v>
      </c>
      <c r="I112" s="470"/>
      <c r="J112" s="470"/>
      <c r="K112" s="488">
        <v>1425570.27</v>
      </c>
      <c r="L112" s="1007">
        <f t="shared" si="19"/>
        <v>5702281.0800000001</v>
      </c>
      <c r="M112" s="1007">
        <f t="shared" si="20"/>
        <v>0</v>
      </c>
      <c r="N112" s="1007">
        <f t="shared" si="21"/>
        <v>5702281.0800000001</v>
      </c>
      <c r="O112" s="1007">
        <f t="shared" si="22"/>
        <v>0</v>
      </c>
      <c r="P112" s="1007">
        <f t="shared" si="23"/>
        <v>0</v>
      </c>
      <c r="Q112" s="1207"/>
      <c r="R112" s="1202"/>
      <c r="S112" s="470">
        <v>4</v>
      </c>
      <c r="T112" s="991">
        <f t="shared" si="24"/>
        <v>0</v>
      </c>
      <c r="U112" s="1008">
        <v>5526398.2400000002</v>
      </c>
    </row>
    <row r="113" spans="1:21" ht="15.75">
      <c r="A113" s="473">
        <v>107</v>
      </c>
      <c r="B113" s="819" t="s">
        <v>1374</v>
      </c>
      <c r="C113" s="465">
        <v>63500305</v>
      </c>
      <c r="D113" s="470">
        <v>30</v>
      </c>
      <c r="E113" s="819" t="s">
        <v>1314</v>
      </c>
      <c r="F113" s="473"/>
      <c r="G113" s="470"/>
      <c r="H113" s="470">
        <v>15</v>
      </c>
      <c r="I113" s="470">
        <v>15</v>
      </c>
      <c r="J113" s="470"/>
      <c r="K113" s="488">
        <v>1425570.27</v>
      </c>
      <c r="L113" s="1007">
        <f t="shared" si="19"/>
        <v>42767108.100000001</v>
      </c>
      <c r="M113" s="1007">
        <f t="shared" si="20"/>
        <v>0</v>
      </c>
      <c r="N113" s="1007">
        <f t="shared" si="21"/>
        <v>21383554.050000001</v>
      </c>
      <c r="O113" s="1007">
        <f t="shared" si="22"/>
        <v>21383554.050000001</v>
      </c>
      <c r="P113" s="1007">
        <f t="shared" si="23"/>
        <v>0</v>
      </c>
      <c r="Q113" s="1207"/>
      <c r="R113" s="1202"/>
      <c r="S113" s="470">
        <v>15</v>
      </c>
      <c r="T113" s="991">
        <f t="shared" si="24"/>
        <v>15</v>
      </c>
      <c r="U113" s="1008">
        <v>20723993.399999999</v>
      </c>
    </row>
    <row r="114" spans="1:21" ht="15.75">
      <c r="A114" s="473">
        <v>108</v>
      </c>
      <c r="B114" s="819" t="s">
        <v>1375</v>
      </c>
      <c r="C114" s="465">
        <v>63500306</v>
      </c>
      <c r="D114" s="470">
        <v>30</v>
      </c>
      <c r="E114" s="819" t="s">
        <v>1314</v>
      </c>
      <c r="F114" s="473"/>
      <c r="G114" s="470"/>
      <c r="H114" s="470">
        <v>15</v>
      </c>
      <c r="I114" s="470">
        <v>15</v>
      </c>
      <c r="J114" s="470"/>
      <c r="K114" s="488">
        <v>1425570.27</v>
      </c>
      <c r="L114" s="1007">
        <f t="shared" si="19"/>
        <v>42767108.100000001</v>
      </c>
      <c r="M114" s="1007">
        <f t="shared" si="20"/>
        <v>0</v>
      </c>
      <c r="N114" s="1007">
        <f t="shared" si="21"/>
        <v>21383554.050000001</v>
      </c>
      <c r="O114" s="1007">
        <f t="shared" si="22"/>
        <v>21383554.050000001</v>
      </c>
      <c r="P114" s="1007">
        <f t="shared" si="23"/>
        <v>0</v>
      </c>
      <c r="Q114" s="1207"/>
      <c r="R114" s="1202"/>
      <c r="S114" s="470">
        <v>15</v>
      </c>
      <c r="T114" s="991">
        <f t="shared" si="24"/>
        <v>15</v>
      </c>
      <c r="U114" s="1008">
        <v>20723993.399999999</v>
      </c>
    </row>
    <row r="115" spans="1:21" ht="15.75">
      <c r="A115" s="473">
        <v>109</v>
      </c>
      <c r="B115" s="819" t="s">
        <v>1376</v>
      </c>
      <c r="C115" s="465">
        <v>63500221</v>
      </c>
      <c r="D115" s="470">
        <v>2</v>
      </c>
      <c r="E115" s="819" t="s">
        <v>1314</v>
      </c>
      <c r="F115" s="473"/>
      <c r="G115" s="470"/>
      <c r="H115" s="470">
        <v>2</v>
      </c>
      <c r="I115" s="470"/>
      <c r="J115" s="470"/>
      <c r="K115" s="488">
        <v>24645452.140000001</v>
      </c>
      <c r="L115" s="1007">
        <f t="shared" si="19"/>
        <v>49290904.280000001</v>
      </c>
      <c r="M115" s="1007">
        <f t="shared" si="20"/>
        <v>0</v>
      </c>
      <c r="N115" s="1007">
        <f t="shared" si="21"/>
        <v>49290904.280000001</v>
      </c>
      <c r="O115" s="1007">
        <f t="shared" si="22"/>
        <v>0</v>
      </c>
      <c r="P115" s="1007">
        <f t="shared" si="23"/>
        <v>0</v>
      </c>
      <c r="Q115" s="1207"/>
      <c r="R115" s="1202"/>
      <c r="S115" s="470">
        <v>2</v>
      </c>
      <c r="T115" s="991">
        <f t="shared" si="24"/>
        <v>0</v>
      </c>
      <c r="U115" s="1008">
        <v>47770561.399999999</v>
      </c>
    </row>
    <row r="116" spans="1:21" ht="15.75">
      <c r="A116" s="473">
        <v>110</v>
      </c>
      <c r="B116" s="819" t="s">
        <v>1377</v>
      </c>
      <c r="C116" s="477">
        <v>63500222</v>
      </c>
      <c r="D116" s="470">
        <v>15</v>
      </c>
      <c r="E116" s="819" t="s">
        <v>1314</v>
      </c>
      <c r="F116" s="473"/>
      <c r="G116" s="470"/>
      <c r="H116" s="470">
        <v>5</v>
      </c>
      <c r="I116" s="470">
        <v>5</v>
      </c>
      <c r="J116" s="470">
        <v>5</v>
      </c>
      <c r="K116" s="488">
        <v>24645452.140000001</v>
      </c>
      <c r="L116" s="1007">
        <f t="shared" si="19"/>
        <v>369681782.10000002</v>
      </c>
      <c r="M116" s="1007">
        <f t="shared" si="20"/>
        <v>0</v>
      </c>
      <c r="N116" s="1007">
        <f t="shared" si="21"/>
        <v>123227260.7</v>
      </c>
      <c r="O116" s="1007">
        <f t="shared" si="22"/>
        <v>123227260.7</v>
      </c>
      <c r="P116" s="1007">
        <f t="shared" si="23"/>
        <v>123227260.7</v>
      </c>
      <c r="Q116" s="1207"/>
      <c r="R116" s="1202"/>
      <c r="S116" s="470">
        <v>5</v>
      </c>
      <c r="T116" s="991">
        <f t="shared" si="24"/>
        <v>10</v>
      </c>
      <c r="U116" s="1008">
        <v>119426403.5</v>
      </c>
    </row>
    <row r="117" spans="1:21" ht="15.75">
      <c r="A117" s="473">
        <v>111</v>
      </c>
      <c r="B117" s="819" t="s">
        <v>1378</v>
      </c>
      <c r="C117" s="477">
        <v>63500223</v>
      </c>
      <c r="D117" s="470">
        <v>15</v>
      </c>
      <c r="E117" s="819" t="s">
        <v>1314</v>
      </c>
      <c r="F117" s="473"/>
      <c r="G117" s="470"/>
      <c r="H117" s="470">
        <v>5</v>
      </c>
      <c r="I117" s="470">
        <v>5</v>
      </c>
      <c r="J117" s="470">
        <v>5</v>
      </c>
      <c r="K117" s="488">
        <v>24645452.140000001</v>
      </c>
      <c r="L117" s="1007">
        <f t="shared" si="19"/>
        <v>369681782.10000002</v>
      </c>
      <c r="M117" s="1007">
        <f t="shared" si="20"/>
        <v>0</v>
      </c>
      <c r="N117" s="1007">
        <f t="shared" si="21"/>
        <v>123227260.7</v>
      </c>
      <c r="O117" s="1007">
        <f t="shared" si="22"/>
        <v>123227260.7</v>
      </c>
      <c r="P117" s="1007">
        <f t="shared" si="23"/>
        <v>123227260.7</v>
      </c>
      <c r="Q117" s="1207"/>
      <c r="R117" s="1202"/>
      <c r="S117" s="470">
        <v>5</v>
      </c>
      <c r="T117" s="991">
        <f t="shared" si="24"/>
        <v>10</v>
      </c>
      <c r="U117" s="1008">
        <v>119426403.5</v>
      </c>
    </row>
    <row r="118" spans="1:21" ht="15.75">
      <c r="A118" s="473">
        <v>112</v>
      </c>
      <c r="B118" s="819" t="s">
        <v>1379</v>
      </c>
      <c r="C118" s="465">
        <v>64400141</v>
      </c>
      <c r="D118" s="470">
        <v>20</v>
      </c>
      <c r="E118" s="819" t="s">
        <v>1314</v>
      </c>
      <c r="F118" s="473"/>
      <c r="G118" s="470"/>
      <c r="H118" s="470">
        <v>10</v>
      </c>
      <c r="I118" s="470">
        <v>10</v>
      </c>
      <c r="J118" s="470"/>
      <c r="K118" s="488">
        <v>19264386.300000001</v>
      </c>
      <c r="L118" s="1007">
        <f t="shared" si="19"/>
        <v>385287726</v>
      </c>
      <c r="M118" s="1007">
        <f t="shared" si="20"/>
        <v>0</v>
      </c>
      <c r="N118" s="1007">
        <f t="shared" si="21"/>
        <v>192643863</v>
      </c>
      <c r="O118" s="1007">
        <f t="shared" si="22"/>
        <v>192643863</v>
      </c>
      <c r="P118" s="1007">
        <f t="shared" si="23"/>
        <v>0</v>
      </c>
      <c r="Q118" s="1207"/>
      <c r="R118" s="1202"/>
      <c r="S118" s="470">
        <v>10</v>
      </c>
      <c r="T118" s="991">
        <f t="shared" si="24"/>
        <v>10</v>
      </c>
      <c r="U118" s="1008">
        <v>155025308.5</v>
      </c>
    </row>
    <row r="119" spans="1:21" ht="15.75">
      <c r="A119" s="473">
        <v>113</v>
      </c>
      <c r="B119" s="819" t="s">
        <v>1380</v>
      </c>
      <c r="C119" s="477">
        <v>63500332</v>
      </c>
      <c r="D119" s="470">
        <v>15</v>
      </c>
      <c r="E119" s="819" t="s">
        <v>1314</v>
      </c>
      <c r="F119" s="473"/>
      <c r="G119" s="470"/>
      <c r="H119" s="470">
        <v>5</v>
      </c>
      <c r="I119" s="470">
        <v>5</v>
      </c>
      <c r="J119" s="470">
        <v>5</v>
      </c>
      <c r="K119" s="488">
        <v>4195696.3499999996</v>
      </c>
      <c r="L119" s="1007">
        <f t="shared" si="19"/>
        <v>62935445.249999993</v>
      </c>
      <c r="M119" s="1007">
        <f t="shared" si="20"/>
        <v>0</v>
      </c>
      <c r="N119" s="1007">
        <f t="shared" si="21"/>
        <v>20978481.75</v>
      </c>
      <c r="O119" s="1007">
        <f t="shared" si="22"/>
        <v>20978481.75</v>
      </c>
      <c r="P119" s="1007">
        <f t="shared" si="23"/>
        <v>20978481.75</v>
      </c>
      <c r="Q119" s="1207"/>
      <c r="R119" s="1202"/>
      <c r="S119" s="470">
        <v>5</v>
      </c>
      <c r="T119" s="991">
        <f t="shared" si="24"/>
        <v>10</v>
      </c>
      <c r="U119" s="1008">
        <v>16881906.100000001</v>
      </c>
    </row>
    <row r="120" spans="1:21" ht="15.75">
      <c r="A120" s="473">
        <v>114</v>
      </c>
      <c r="B120" s="819" t="s">
        <v>1381</v>
      </c>
      <c r="C120" s="477">
        <v>64400139</v>
      </c>
      <c r="D120" s="470">
        <v>5</v>
      </c>
      <c r="E120" s="819" t="s">
        <v>1314</v>
      </c>
      <c r="F120" s="473"/>
      <c r="G120" s="470"/>
      <c r="H120" s="470">
        <v>3</v>
      </c>
      <c r="I120" s="470">
        <v>2</v>
      </c>
      <c r="J120" s="470"/>
      <c r="K120" s="488">
        <v>11666082.539999999</v>
      </c>
      <c r="L120" s="1007">
        <f t="shared" si="19"/>
        <v>58330412.699999996</v>
      </c>
      <c r="M120" s="1007">
        <f t="shared" si="20"/>
        <v>0</v>
      </c>
      <c r="N120" s="1007">
        <f t="shared" si="21"/>
        <v>34998247.619999997</v>
      </c>
      <c r="O120" s="1007">
        <f t="shared" si="22"/>
        <v>23332165.079999998</v>
      </c>
      <c r="P120" s="1007">
        <f t="shared" si="23"/>
        <v>0</v>
      </c>
      <c r="Q120" s="1207"/>
      <c r="R120" s="1202"/>
      <c r="S120" s="470">
        <v>3</v>
      </c>
      <c r="T120" s="991">
        <f t="shared" si="24"/>
        <v>2</v>
      </c>
      <c r="U120" s="1008">
        <v>28163960.43</v>
      </c>
    </row>
    <row r="121" spans="1:21" ht="15.75">
      <c r="A121" s="473">
        <v>115</v>
      </c>
      <c r="B121" s="819" t="s">
        <v>1382</v>
      </c>
      <c r="C121" s="477">
        <v>64400140</v>
      </c>
      <c r="D121" s="470">
        <v>5</v>
      </c>
      <c r="E121" s="819" t="s">
        <v>1314</v>
      </c>
      <c r="F121" s="473"/>
      <c r="G121" s="470"/>
      <c r="H121" s="470">
        <v>3</v>
      </c>
      <c r="I121" s="470">
        <v>2</v>
      </c>
      <c r="J121" s="470"/>
      <c r="K121" s="488">
        <v>8672811.3599999994</v>
      </c>
      <c r="L121" s="1007">
        <f t="shared" si="19"/>
        <v>43364056.799999997</v>
      </c>
      <c r="M121" s="1007">
        <f t="shared" si="20"/>
        <v>0</v>
      </c>
      <c r="N121" s="1007">
        <f t="shared" si="21"/>
        <v>26018434.079999998</v>
      </c>
      <c r="O121" s="1007">
        <f t="shared" si="22"/>
        <v>17345622.719999999</v>
      </c>
      <c r="P121" s="1007">
        <f t="shared" si="23"/>
        <v>0</v>
      </c>
      <c r="Q121" s="1207"/>
      <c r="R121" s="1202"/>
      <c r="S121" s="470">
        <v>3</v>
      </c>
      <c r="T121" s="991">
        <f t="shared" si="24"/>
        <v>2</v>
      </c>
      <c r="U121" s="1008">
        <v>20937681.09</v>
      </c>
    </row>
    <row r="122" spans="1:21" ht="15.75">
      <c r="A122" s="473">
        <v>116</v>
      </c>
      <c r="B122" s="819" t="s">
        <v>1383</v>
      </c>
      <c r="C122" s="477">
        <v>63500238</v>
      </c>
      <c r="D122" s="470">
        <v>5</v>
      </c>
      <c r="E122" s="819" t="s">
        <v>1314</v>
      </c>
      <c r="F122" s="473"/>
      <c r="G122" s="470"/>
      <c r="H122" s="470">
        <v>3</v>
      </c>
      <c r="I122" s="470">
        <v>2</v>
      </c>
      <c r="J122" s="470"/>
      <c r="K122" s="488">
        <v>5629794.46</v>
      </c>
      <c r="L122" s="1007">
        <f t="shared" si="19"/>
        <v>28148972.300000001</v>
      </c>
      <c r="M122" s="1007">
        <f t="shared" si="20"/>
        <v>0</v>
      </c>
      <c r="N122" s="1007">
        <f t="shared" si="21"/>
        <v>16889383.379999999</v>
      </c>
      <c r="O122" s="1007">
        <f t="shared" si="22"/>
        <v>11259588.92</v>
      </c>
      <c r="P122" s="1007">
        <f t="shared" si="23"/>
        <v>0</v>
      </c>
      <c r="Q122" s="1207"/>
      <c r="R122" s="1202"/>
      <c r="S122" s="470">
        <v>3</v>
      </c>
      <c r="T122" s="991">
        <f t="shared" si="24"/>
        <v>2</v>
      </c>
      <c r="U122" s="1008">
        <v>13591306.92</v>
      </c>
    </row>
    <row r="123" spans="1:21" ht="15.75">
      <c r="A123" s="473">
        <v>117</v>
      </c>
      <c r="B123" s="819" t="s">
        <v>1384</v>
      </c>
      <c r="C123" s="465">
        <v>63200165</v>
      </c>
      <c r="D123" s="470">
        <v>5</v>
      </c>
      <c r="E123" s="819" t="s">
        <v>1314</v>
      </c>
      <c r="F123" s="473"/>
      <c r="G123" s="470"/>
      <c r="H123" s="470">
        <v>5</v>
      </c>
      <c r="I123" s="470"/>
      <c r="J123" s="470"/>
      <c r="K123" s="488">
        <v>1918763.58</v>
      </c>
      <c r="L123" s="1007">
        <f t="shared" si="19"/>
        <v>9593817.9000000004</v>
      </c>
      <c r="M123" s="1007">
        <f t="shared" si="20"/>
        <v>0</v>
      </c>
      <c r="N123" s="1007">
        <f t="shared" si="21"/>
        <v>9593817.9000000004</v>
      </c>
      <c r="O123" s="1007">
        <f t="shared" si="22"/>
        <v>0</v>
      </c>
      <c r="P123" s="1007">
        <f t="shared" si="23"/>
        <v>0</v>
      </c>
      <c r="Q123" s="1207"/>
      <c r="R123" s="1202"/>
      <c r="S123" s="470">
        <v>5</v>
      </c>
      <c r="T123" s="991">
        <f t="shared" si="24"/>
        <v>0</v>
      </c>
      <c r="U123" s="1008">
        <v>8651983</v>
      </c>
    </row>
    <row r="124" spans="1:21" ht="15.75">
      <c r="A124" s="473">
        <v>118</v>
      </c>
      <c r="B124" s="819" t="s">
        <v>1385</v>
      </c>
      <c r="C124" s="465">
        <v>63400348</v>
      </c>
      <c r="D124" s="470">
        <v>5</v>
      </c>
      <c r="E124" s="819" t="s">
        <v>1314</v>
      </c>
      <c r="F124" s="473"/>
      <c r="G124" s="470"/>
      <c r="H124" s="470">
        <v>5</v>
      </c>
      <c r="I124" s="470"/>
      <c r="J124" s="470"/>
      <c r="K124" s="488">
        <v>1790846</v>
      </c>
      <c r="L124" s="1007">
        <f t="shared" si="19"/>
        <v>8954230</v>
      </c>
      <c r="M124" s="1007">
        <f t="shared" si="20"/>
        <v>0</v>
      </c>
      <c r="N124" s="1007">
        <f t="shared" si="21"/>
        <v>8954230</v>
      </c>
      <c r="O124" s="1007">
        <f t="shared" si="22"/>
        <v>0</v>
      </c>
      <c r="P124" s="1007">
        <f t="shared" si="23"/>
        <v>0</v>
      </c>
      <c r="Q124" s="1207"/>
      <c r="R124" s="1202"/>
      <c r="S124" s="470">
        <v>5</v>
      </c>
      <c r="T124" s="991">
        <f t="shared" si="24"/>
        <v>0</v>
      </c>
      <c r="U124" s="1008">
        <v>8972426.8499999996</v>
      </c>
    </row>
    <row r="125" spans="1:21" ht="15.75">
      <c r="A125" s="473">
        <v>119</v>
      </c>
      <c r="B125" s="819" t="s">
        <v>1386</v>
      </c>
      <c r="C125" s="465">
        <v>63400259</v>
      </c>
      <c r="D125" s="470">
        <v>3</v>
      </c>
      <c r="E125" s="819" t="s">
        <v>1314</v>
      </c>
      <c r="F125" s="473"/>
      <c r="G125" s="470"/>
      <c r="H125" s="470">
        <v>2</v>
      </c>
      <c r="I125" s="470">
        <v>1</v>
      </c>
      <c r="J125" s="470">
        <v>0</v>
      </c>
      <c r="K125" s="488">
        <v>19878390.640000001</v>
      </c>
      <c r="L125" s="1007">
        <f t="shared" si="19"/>
        <v>59635171.920000002</v>
      </c>
      <c r="M125" s="1007">
        <f t="shared" si="20"/>
        <v>0</v>
      </c>
      <c r="N125" s="1007">
        <f t="shared" si="21"/>
        <v>39756781.280000001</v>
      </c>
      <c r="O125" s="1007">
        <f t="shared" si="22"/>
        <v>19878390.640000001</v>
      </c>
      <c r="P125" s="1007">
        <f t="shared" si="23"/>
        <v>0</v>
      </c>
      <c r="Q125" s="1207"/>
      <c r="R125" s="1202"/>
      <c r="S125" s="470">
        <v>2</v>
      </c>
      <c r="T125" s="991">
        <f t="shared" si="24"/>
        <v>1</v>
      </c>
      <c r="U125" s="1008">
        <v>35853814.700000003</v>
      </c>
    </row>
    <row r="126" spans="1:21" ht="15.75">
      <c r="A126" s="473">
        <v>120</v>
      </c>
      <c r="B126" s="819" t="s">
        <v>1356</v>
      </c>
      <c r="C126" s="465">
        <v>64700140</v>
      </c>
      <c r="D126" s="470">
        <v>5</v>
      </c>
      <c r="E126" s="819" t="s">
        <v>1314</v>
      </c>
      <c r="F126" s="473"/>
      <c r="G126" s="470"/>
      <c r="H126" s="470">
        <v>2</v>
      </c>
      <c r="I126" s="470">
        <v>2</v>
      </c>
      <c r="J126" s="470">
        <v>1</v>
      </c>
      <c r="K126" s="488">
        <v>6651713.7300000004</v>
      </c>
      <c r="L126" s="1007">
        <f t="shared" si="19"/>
        <v>33258568.650000002</v>
      </c>
      <c r="M126" s="1007">
        <f t="shared" si="20"/>
        <v>0</v>
      </c>
      <c r="N126" s="1007">
        <f t="shared" si="21"/>
        <v>13303427.460000001</v>
      </c>
      <c r="O126" s="1007">
        <f t="shared" si="22"/>
        <v>13303427.460000001</v>
      </c>
      <c r="P126" s="1007">
        <f t="shared" si="23"/>
        <v>6651713.7300000004</v>
      </c>
      <c r="Q126" s="1207"/>
      <c r="R126" s="1202"/>
      <c r="S126" s="470">
        <v>2</v>
      </c>
      <c r="T126" s="991">
        <f t="shared" si="24"/>
        <v>3</v>
      </c>
      <c r="U126" s="1008">
        <v>11997406.460000001</v>
      </c>
    </row>
    <row r="127" spans="1:21" ht="15.75">
      <c r="A127" s="473">
        <v>121</v>
      </c>
      <c r="B127" s="819" t="s">
        <v>1323</v>
      </c>
      <c r="C127" s="465">
        <v>64700165</v>
      </c>
      <c r="D127" s="470">
        <v>5</v>
      </c>
      <c r="E127" s="819" t="s">
        <v>1314</v>
      </c>
      <c r="F127" s="473"/>
      <c r="G127" s="470"/>
      <c r="H127" s="470">
        <v>2</v>
      </c>
      <c r="I127" s="470">
        <v>2</v>
      </c>
      <c r="J127" s="470">
        <v>1</v>
      </c>
      <c r="K127" s="488">
        <v>741921.92</v>
      </c>
      <c r="L127" s="1007">
        <f t="shared" si="19"/>
        <v>3709609.6</v>
      </c>
      <c r="M127" s="1007">
        <f t="shared" si="20"/>
        <v>0</v>
      </c>
      <c r="N127" s="1007">
        <f t="shared" si="21"/>
        <v>1483843.84</v>
      </c>
      <c r="O127" s="1007">
        <f t="shared" si="22"/>
        <v>1483843.84</v>
      </c>
      <c r="P127" s="1007">
        <f t="shared" si="23"/>
        <v>741921.92</v>
      </c>
      <c r="Q127" s="1207"/>
      <c r="R127" s="1202"/>
      <c r="S127" s="470">
        <v>2</v>
      </c>
      <c r="T127" s="991">
        <f t="shared" si="24"/>
        <v>3</v>
      </c>
      <c r="U127" s="1008">
        <v>1338173.3799999999</v>
      </c>
    </row>
    <row r="128" spans="1:21" ht="15.75">
      <c r="A128" s="473">
        <v>122</v>
      </c>
      <c r="B128" s="819" t="s">
        <v>1356</v>
      </c>
      <c r="C128" s="465">
        <v>63300319</v>
      </c>
      <c r="D128" s="470">
        <v>3</v>
      </c>
      <c r="E128" s="819" t="s">
        <v>1314</v>
      </c>
      <c r="F128" s="473"/>
      <c r="G128" s="470"/>
      <c r="H128" s="470">
        <v>2</v>
      </c>
      <c r="I128" s="470">
        <v>1</v>
      </c>
      <c r="J128" s="470"/>
      <c r="K128" s="488">
        <v>20262143.350000001</v>
      </c>
      <c r="L128" s="1007">
        <f t="shared" si="19"/>
        <v>60786430.050000004</v>
      </c>
      <c r="M128" s="1007">
        <f t="shared" si="20"/>
        <v>0</v>
      </c>
      <c r="N128" s="1007">
        <f t="shared" si="21"/>
        <v>40524286.700000003</v>
      </c>
      <c r="O128" s="1007">
        <f t="shared" si="22"/>
        <v>20262143.350000001</v>
      </c>
      <c r="P128" s="1007">
        <f t="shared" si="23"/>
        <v>0</v>
      </c>
      <c r="Q128" s="1207"/>
      <c r="R128" s="1202"/>
      <c r="S128" s="470">
        <v>2</v>
      </c>
      <c r="T128" s="991">
        <f t="shared" si="24"/>
        <v>1</v>
      </c>
      <c r="U128" s="1008">
        <v>36545976.32</v>
      </c>
    </row>
    <row r="129" spans="1:21" ht="15.75">
      <c r="A129" s="473">
        <v>123</v>
      </c>
      <c r="B129" s="819" t="s">
        <v>1387</v>
      </c>
      <c r="C129" s="465">
        <v>65500111</v>
      </c>
      <c r="D129" s="470">
        <v>1</v>
      </c>
      <c r="E129" s="819" t="s">
        <v>1314</v>
      </c>
      <c r="F129" s="819" t="s">
        <v>1994</v>
      </c>
      <c r="G129" s="470"/>
      <c r="H129" s="470">
        <v>1</v>
      </c>
      <c r="I129" s="470"/>
      <c r="J129" s="470"/>
      <c r="K129" s="488">
        <v>34128408.119999997</v>
      </c>
      <c r="L129" s="1007">
        <f t="shared" si="19"/>
        <v>34128408.119999997</v>
      </c>
      <c r="M129" s="1007">
        <f t="shared" si="20"/>
        <v>0</v>
      </c>
      <c r="N129" s="1007">
        <f t="shared" si="21"/>
        <v>34128408.119999997</v>
      </c>
      <c r="O129" s="1007">
        <f t="shared" si="22"/>
        <v>0</v>
      </c>
      <c r="P129" s="1007">
        <f t="shared" si="23"/>
        <v>0</v>
      </c>
      <c r="Q129" s="1207"/>
      <c r="R129" s="1202"/>
      <c r="S129" s="470">
        <v>1</v>
      </c>
      <c r="T129" s="991">
        <f t="shared" si="24"/>
        <v>0</v>
      </c>
      <c r="U129" s="1008">
        <v>30777987.640000001</v>
      </c>
    </row>
    <row r="130" spans="1:21" ht="15.75">
      <c r="A130" s="473">
        <v>124</v>
      </c>
      <c r="B130" s="747" t="s">
        <v>1388</v>
      </c>
      <c r="C130" s="748">
        <v>63400326</v>
      </c>
      <c r="D130" s="746">
        <v>10</v>
      </c>
      <c r="E130" s="747" t="s">
        <v>1314</v>
      </c>
      <c r="F130" s="819" t="s">
        <v>1994</v>
      </c>
      <c r="G130" s="470"/>
      <c r="H130" s="470">
        <v>4</v>
      </c>
      <c r="I130" s="470">
        <v>4</v>
      </c>
      <c r="J130" s="470">
        <v>2</v>
      </c>
      <c r="K130" s="488">
        <v>3197939.29</v>
      </c>
      <c r="L130" s="1007">
        <f t="shared" si="19"/>
        <v>31979392.899999999</v>
      </c>
      <c r="M130" s="1007">
        <f t="shared" si="20"/>
        <v>0</v>
      </c>
      <c r="N130" s="1007">
        <f t="shared" si="21"/>
        <v>12791757.16</v>
      </c>
      <c r="O130" s="1007">
        <f t="shared" si="22"/>
        <v>12791757.16</v>
      </c>
      <c r="P130" s="1007">
        <f t="shared" si="23"/>
        <v>6395878.5800000001</v>
      </c>
      <c r="Q130" s="1207"/>
      <c r="R130" s="1202"/>
      <c r="S130" s="470">
        <v>4</v>
      </c>
      <c r="T130" s="991">
        <f t="shared" si="24"/>
        <v>6</v>
      </c>
      <c r="U130" s="1008">
        <v>11535977.359999999</v>
      </c>
    </row>
    <row r="131" spans="1:21" ht="15.75">
      <c r="A131" s="473">
        <v>125</v>
      </c>
      <c r="B131" s="819" t="s">
        <v>1389</v>
      </c>
      <c r="C131" s="465">
        <v>65500108</v>
      </c>
      <c r="D131" s="470">
        <v>1</v>
      </c>
      <c r="E131" s="819" t="s">
        <v>1314</v>
      </c>
      <c r="F131" s="473"/>
      <c r="G131" s="470"/>
      <c r="H131" s="470">
        <v>1</v>
      </c>
      <c r="I131" s="470"/>
      <c r="J131" s="470"/>
      <c r="K131" s="488">
        <v>20031891.73</v>
      </c>
      <c r="L131" s="1007">
        <f t="shared" si="19"/>
        <v>20031891.73</v>
      </c>
      <c r="M131" s="1007">
        <f t="shared" si="20"/>
        <v>0</v>
      </c>
      <c r="N131" s="1007">
        <f t="shared" si="21"/>
        <v>20031891.73</v>
      </c>
      <c r="O131" s="1007">
        <f t="shared" si="22"/>
        <v>0</v>
      </c>
      <c r="P131" s="1007">
        <f t="shared" si="23"/>
        <v>0</v>
      </c>
      <c r="Q131" s="1207"/>
      <c r="R131" s="1202"/>
      <c r="S131" s="470">
        <v>1</v>
      </c>
      <c r="T131" s="991">
        <f t="shared" si="24"/>
        <v>0</v>
      </c>
      <c r="U131" s="1008">
        <v>18065340.57</v>
      </c>
    </row>
    <row r="132" spans="1:21" ht="30">
      <c r="A132" s="473">
        <v>126</v>
      </c>
      <c r="B132" s="819" t="s">
        <v>1390</v>
      </c>
      <c r="C132" s="465">
        <v>63400332</v>
      </c>
      <c r="D132" s="470">
        <v>2</v>
      </c>
      <c r="E132" s="819" t="s">
        <v>1314</v>
      </c>
      <c r="F132" s="473"/>
      <c r="G132" s="470"/>
      <c r="H132" s="470"/>
      <c r="I132" s="470">
        <v>2</v>
      </c>
      <c r="J132" s="470"/>
      <c r="K132" s="488">
        <v>2046681.15</v>
      </c>
      <c r="L132" s="1007">
        <f t="shared" si="19"/>
        <v>4093362.3</v>
      </c>
      <c r="M132" s="1007">
        <f t="shared" si="20"/>
        <v>0</v>
      </c>
      <c r="N132" s="1007">
        <f t="shared" si="21"/>
        <v>0</v>
      </c>
      <c r="O132" s="1007">
        <f t="shared" si="22"/>
        <v>4093362.3</v>
      </c>
      <c r="P132" s="1007">
        <f t="shared" si="23"/>
        <v>0</v>
      </c>
      <c r="Q132" s="1207"/>
      <c r="R132" s="1202"/>
      <c r="S132" s="470"/>
      <c r="T132" s="991">
        <f t="shared" si="24"/>
        <v>2</v>
      </c>
      <c r="U132" s="1008"/>
    </row>
    <row r="133" spans="1:21" ht="15.75">
      <c r="A133" s="473">
        <v>127</v>
      </c>
      <c r="B133" s="819" t="s">
        <v>1391</v>
      </c>
      <c r="C133" s="465">
        <v>63300226</v>
      </c>
      <c r="D133" s="470">
        <v>5</v>
      </c>
      <c r="E133" s="819" t="s">
        <v>1314</v>
      </c>
      <c r="F133" s="819" t="s">
        <v>1994</v>
      </c>
      <c r="G133" s="470"/>
      <c r="H133" s="470">
        <v>2</v>
      </c>
      <c r="I133" s="470">
        <v>2</v>
      </c>
      <c r="J133" s="470">
        <v>1</v>
      </c>
      <c r="K133" s="488">
        <v>7598303.7599999998</v>
      </c>
      <c r="L133" s="1007">
        <f t="shared" si="19"/>
        <v>37991518.799999997</v>
      </c>
      <c r="M133" s="1007">
        <f t="shared" si="20"/>
        <v>0</v>
      </c>
      <c r="N133" s="1007">
        <f t="shared" si="21"/>
        <v>15196607.52</v>
      </c>
      <c r="O133" s="1007">
        <f t="shared" si="22"/>
        <v>15196607.52</v>
      </c>
      <c r="P133" s="1007">
        <f t="shared" si="23"/>
        <v>7598303.7599999998</v>
      </c>
      <c r="Q133" s="1207"/>
      <c r="R133" s="1202"/>
      <c r="S133" s="470">
        <v>2</v>
      </c>
      <c r="T133" s="991">
        <f t="shared" si="24"/>
        <v>3</v>
      </c>
      <c r="U133" s="1008">
        <v>13704741.119999999</v>
      </c>
    </row>
    <row r="134" spans="1:21" ht="15.75">
      <c r="A134" s="473">
        <v>128</v>
      </c>
      <c r="B134" s="819" t="s">
        <v>1392</v>
      </c>
      <c r="C134" s="465">
        <v>63300165</v>
      </c>
      <c r="D134" s="470">
        <v>2</v>
      </c>
      <c r="E134" s="819" t="s">
        <v>1314</v>
      </c>
      <c r="F134" s="473"/>
      <c r="G134" s="470"/>
      <c r="H134" s="470">
        <v>1</v>
      </c>
      <c r="I134" s="470">
        <v>1</v>
      </c>
      <c r="J134" s="470"/>
      <c r="K134" s="488">
        <v>153936005.75999999</v>
      </c>
      <c r="L134" s="1007">
        <f t="shared" si="19"/>
        <v>307872011.51999998</v>
      </c>
      <c r="M134" s="1007">
        <f t="shared" si="20"/>
        <v>0</v>
      </c>
      <c r="N134" s="1007">
        <f t="shared" si="21"/>
        <v>153936005.75999999</v>
      </c>
      <c r="O134" s="1007">
        <f t="shared" si="22"/>
        <v>153936005.75999999</v>
      </c>
      <c r="P134" s="1007">
        <f t="shared" si="23"/>
        <v>0</v>
      </c>
      <c r="Q134" s="1207"/>
      <c r="R134" s="1202"/>
      <c r="S134" s="470">
        <v>1</v>
      </c>
      <c r="T134" s="991">
        <f t="shared" si="24"/>
        <v>1</v>
      </c>
      <c r="U134" s="1008">
        <v>149187959</v>
      </c>
    </row>
    <row r="135" spans="1:21" ht="15.75">
      <c r="A135" s="473">
        <v>129</v>
      </c>
      <c r="B135" s="819" t="s">
        <v>1393</v>
      </c>
      <c r="C135" s="465">
        <v>64500142</v>
      </c>
      <c r="D135" s="470">
        <v>1</v>
      </c>
      <c r="E135" s="819" t="s">
        <v>1314</v>
      </c>
      <c r="F135" s="473"/>
      <c r="G135" s="470"/>
      <c r="H135" s="470">
        <v>1</v>
      </c>
      <c r="I135" s="470"/>
      <c r="J135" s="470"/>
      <c r="K135" s="488">
        <v>31774724.809999999</v>
      </c>
      <c r="L135" s="1007">
        <f t="shared" si="19"/>
        <v>31774724.809999999</v>
      </c>
      <c r="M135" s="1007">
        <f t="shared" si="20"/>
        <v>0</v>
      </c>
      <c r="N135" s="1007">
        <f t="shared" si="21"/>
        <v>31774724.809999999</v>
      </c>
      <c r="O135" s="1007">
        <f t="shared" si="22"/>
        <v>0</v>
      </c>
      <c r="P135" s="1007">
        <f t="shared" si="23"/>
        <v>0</v>
      </c>
      <c r="Q135" s="1207"/>
      <c r="R135" s="1202"/>
      <c r="S135" s="470">
        <v>1</v>
      </c>
      <c r="T135" s="991">
        <f t="shared" si="24"/>
        <v>0</v>
      </c>
      <c r="U135" s="1008">
        <v>30794656</v>
      </c>
    </row>
    <row r="136" spans="1:21" ht="15.75">
      <c r="A136" s="473">
        <v>130</v>
      </c>
      <c r="B136" s="819" t="s">
        <v>1394</v>
      </c>
      <c r="C136" s="465">
        <v>63300111</v>
      </c>
      <c r="D136" s="470">
        <v>30</v>
      </c>
      <c r="E136" s="819" t="s">
        <v>1314</v>
      </c>
      <c r="F136" s="819" t="s">
        <v>1997</v>
      </c>
      <c r="G136" s="470"/>
      <c r="H136" s="470">
        <v>15</v>
      </c>
      <c r="I136" s="470">
        <v>15</v>
      </c>
      <c r="J136" s="470"/>
      <c r="K136" s="488">
        <v>4477115.01</v>
      </c>
      <c r="L136" s="1007">
        <f t="shared" si="19"/>
        <v>134313450.29999998</v>
      </c>
      <c r="M136" s="1007">
        <f t="shared" si="20"/>
        <v>0</v>
      </c>
      <c r="N136" s="1007">
        <f t="shared" si="21"/>
        <v>67156725.149999991</v>
      </c>
      <c r="O136" s="1007">
        <f t="shared" si="22"/>
        <v>67156725.149999991</v>
      </c>
      <c r="P136" s="1007">
        <f t="shared" si="23"/>
        <v>0</v>
      </c>
      <c r="Q136" s="1207"/>
      <c r="R136" s="1202"/>
      <c r="S136" s="470">
        <v>15</v>
      </c>
      <c r="T136" s="991">
        <f t="shared" si="24"/>
        <v>15</v>
      </c>
      <c r="U136" s="1008">
        <v>65085323.549999997</v>
      </c>
    </row>
    <row r="137" spans="1:21" ht="15.75">
      <c r="A137" s="473">
        <v>131</v>
      </c>
      <c r="B137" s="819" t="s">
        <v>1394</v>
      </c>
      <c r="C137" s="465">
        <v>63300110</v>
      </c>
      <c r="D137" s="470">
        <v>30</v>
      </c>
      <c r="E137" s="819" t="s">
        <v>1314</v>
      </c>
      <c r="F137" s="819" t="s">
        <v>1998</v>
      </c>
      <c r="G137" s="470"/>
      <c r="H137" s="470">
        <v>15</v>
      </c>
      <c r="I137" s="470">
        <v>15</v>
      </c>
      <c r="J137" s="470"/>
      <c r="K137" s="488">
        <v>4553865.55</v>
      </c>
      <c r="L137" s="1007">
        <f t="shared" si="19"/>
        <v>136615966.5</v>
      </c>
      <c r="M137" s="1007">
        <f t="shared" si="20"/>
        <v>0</v>
      </c>
      <c r="N137" s="1007">
        <f t="shared" si="21"/>
        <v>68307983.25</v>
      </c>
      <c r="O137" s="1007">
        <f t="shared" si="22"/>
        <v>68307983.25</v>
      </c>
      <c r="P137" s="1007">
        <f t="shared" si="23"/>
        <v>0</v>
      </c>
      <c r="Q137" s="1207"/>
      <c r="R137" s="1202"/>
      <c r="S137" s="470">
        <v>15</v>
      </c>
      <c r="T137" s="991">
        <f t="shared" si="24"/>
        <v>15</v>
      </c>
      <c r="U137" s="1008">
        <v>66201072</v>
      </c>
    </row>
    <row r="138" spans="1:21" ht="15.75">
      <c r="A138" s="473">
        <v>132</v>
      </c>
      <c r="B138" s="819" t="s">
        <v>1394</v>
      </c>
      <c r="C138" s="465">
        <v>63300137</v>
      </c>
      <c r="D138" s="470">
        <v>5</v>
      </c>
      <c r="E138" s="819" t="s">
        <v>1314</v>
      </c>
      <c r="F138" s="473"/>
      <c r="G138" s="470"/>
      <c r="H138" s="470">
        <v>5</v>
      </c>
      <c r="I138" s="470"/>
      <c r="J138" s="470"/>
      <c r="K138" s="488">
        <v>8928646.5</v>
      </c>
      <c r="L138" s="1007">
        <f t="shared" si="19"/>
        <v>44643232.5</v>
      </c>
      <c r="M138" s="1007">
        <f t="shared" si="20"/>
        <v>0</v>
      </c>
      <c r="N138" s="1007">
        <f t="shared" si="21"/>
        <v>44643232.5</v>
      </c>
      <c r="O138" s="1007">
        <f t="shared" si="22"/>
        <v>0</v>
      </c>
      <c r="P138" s="1007">
        <f t="shared" si="23"/>
        <v>0</v>
      </c>
      <c r="Q138" s="1207"/>
      <c r="R138" s="1202"/>
      <c r="S138" s="470">
        <v>5</v>
      </c>
      <c r="T138" s="991">
        <f t="shared" si="24"/>
        <v>0</v>
      </c>
      <c r="U138" s="1008">
        <v>43266243.75</v>
      </c>
    </row>
    <row r="139" spans="1:21" ht="15.75">
      <c r="A139" s="473">
        <v>133</v>
      </c>
      <c r="B139" s="819" t="s">
        <v>1394</v>
      </c>
      <c r="C139" s="465">
        <v>63300153</v>
      </c>
      <c r="D139" s="470">
        <v>5</v>
      </c>
      <c r="E139" s="819" t="s">
        <v>1314</v>
      </c>
      <c r="F139" s="819" t="s">
        <v>1999</v>
      </c>
      <c r="G139" s="470"/>
      <c r="H139" s="470">
        <v>5</v>
      </c>
      <c r="I139" s="470"/>
      <c r="J139" s="470"/>
      <c r="K139" s="488">
        <v>1483843.83</v>
      </c>
      <c r="L139" s="1007">
        <f t="shared" si="19"/>
        <v>7419219.1500000004</v>
      </c>
      <c r="M139" s="1007">
        <f t="shared" si="20"/>
        <v>0</v>
      </c>
      <c r="N139" s="1007">
        <f t="shared" si="21"/>
        <v>7419219.1500000004</v>
      </c>
      <c r="O139" s="1007">
        <f t="shared" si="22"/>
        <v>0</v>
      </c>
      <c r="P139" s="1007">
        <f t="shared" si="23"/>
        <v>0</v>
      </c>
      <c r="Q139" s="1207"/>
      <c r="R139" s="1202"/>
      <c r="S139" s="470">
        <v>5</v>
      </c>
      <c r="T139" s="991">
        <f t="shared" si="24"/>
        <v>0</v>
      </c>
      <c r="U139" s="1008">
        <v>7190378.5999999996</v>
      </c>
    </row>
    <row r="140" spans="1:21" ht="15.75">
      <c r="A140" s="473">
        <v>134</v>
      </c>
      <c r="B140" s="819" t="s">
        <v>1395</v>
      </c>
      <c r="C140" s="465">
        <v>63500100</v>
      </c>
      <c r="D140" s="470">
        <v>10</v>
      </c>
      <c r="E140" s="819" t="s">
        <v>1314</v>
      </c>
      <c r="F140" s="819" t="s">
        <v>1994</v>
      </c>
      <c r="G140" s="470"/>
      <c r="H140" s="470">
        <v>5</v>
      </c>
      <c r="I140" s="470">
        <v>5</v>
      </c>
      <c r="J140" s="470"/>
      <c r="K140" s="488">
        <v>2686269.01</v>
      </c>
      <c r="L140" s="1007">
        <f t="shared" si="19"/>
        <v>26862690.099999998</v>
      </c>
      <c r="M140" s="1007">
        <f t="shared" si="20"/>
        <v>0</v>
      </c>
      <c r="N140" s="1007">
        <f t="shared" si="21"/>
        <v>13431345.049999999</v>
      </c>
      <c r="O140" s="1007">
        <f t="shared" si="22"/>
        <v>13431345.049999999</v>
      </c>
      <c r="P140" s="1007">
        <f t="shared" si="23"/>
        <v>0</v>
      </c>
      <c r="Q140" s="1207"/>
      <c r="R140" s="1202"/>
      <c r="S140" s="470">
        <v>5</v>
      </c>
      <c r="T140" s="991">
        <f t="shared" si="24"/>
        <v>5</v>
      </c>
      <c r="U140" s="1008">
        <v>12203205.050000001</v>
      </c>
    </row>
    <row r="141" spans="1:21" ht="15.75">
      <c r="A141" s="473">
        <v>135</v>
      </c>
      <c r="B141" s="819" t="s">
        <v>1396</v>
      </c>
      <c r="C141" s="465">
        <v>63500103</v>
      </c>
      <c r="D141" s="470">
        <v>20</v>
      </c>
      <c r="E141" s="819" t="s">
        <v>1314</v>
      </c>
      <c r="F141" s="819" t="s">
        <v>1991</v>
      </c>
      <c r="G141" s="470"/>
      <c r="H141" s="470">
        <v>10</v>
      </c>
      <c r="I141" s="470">
        <v>10</v>
      </c>
      <c r="J141" s="470"/>
      <c r="K141" s="488">
        <v>767505.43</v>
      </c>
      <c r="L141" s="1007">
        <f t="shared" si="19"/>
        <v>15350108.600000001</v>
      </c>
      <c r="M141" s="1007">
        <f t="shared" si="20"/>
        <v>0</v>
      </c>
      <c r="N141" s="1007">
        <f t="shared" si="21"/>
        <v>7675054.3000000007</v>
      </c>
      <c r="O141" s="1007">
        <f t="shared" si="22"/>
        <v>7675054.3000000007</v>
      </c>
      <c r="P141" s="1007">
        <f t="shared" si="23"/>
        <v>0</v>
      </c>
      <c r="Q141" s="1207"/>
      <c r="R141" s="1202"/>
      <c r="S141" s="470">
        <v>10</v>
      </c>
      <c r="T141" s="991">
        <f t="shared" si="24"/>
        <v>10</v>
      </c>
      <c r="U141" s="1008">
        <v>6973260</v>
      </c>
    </row>
    <row r="142" spans="1:21" ht="15.75">
      <c r="A142" s="473">
        <v>136</v>
      </c>
      <c r="B142" s="819" t="s">
        <v>1397</v>
      </c>
      <c r="C142" s="465">
        <v>63500101</v>
      </c>
      <c r="D142" s="470">
        <v>10</v>
      </c>
      <c r="E142" s="819" t="s">
        <v>1314</v>
      </c>
      <c r="F142" s="819" t="s">
        <v>1994</v>
      </c>
      <c r="G142" s="470"/>
      <c r="H142" s="470">
        <v>5</v>
      </c>
      <c r="I142" s="470">
        <v>5</v>
      </c>
      <c r="J142" s="470"/>
      <c r="K142" s="488">
        <v>1228008.69</v>
      </c>
      <c r="L142" s="1007">
        <f t="shared" si="19"/>
        <v>12280086.899999999</v>
      </c>
      <c r="M142" s="1007">
        <f t="shared" si="20"/>
        <v>0</v>
      </c>
      <c r="N142" s="1007">
        <f t="shared" si="21"/>
        <v>6140043.4499999993</v>
      </c>
      <c r="O142" s="1007">
        <f t="shared" si="22"/>
        <v>6140043.4499999993</v>
      </c>
      <c r="P142" s="1007">
        <f t="shared" si="23"/>
        <v>0</v>
      </c>
      <c r="Q142" s="1207"/>
      <c r="R142" s="1202"/>
      <c r="S142" s="470">
        <v>5</v>
      </c>
      <c r="T142" s="991">
        <f t="shared" si="24"/>
        <v>5</v>
      </c>
      <c r="U142" s="1008">
        <v>5578608</v>
      </c>
    </row>
    <row r="143" spans="1:21" ht="15.75">
      <c r="A143" s="473">
        <v>137</v>
      </c>
      <c r="B143" s="819" t="s">
        <v>1398</v>
      </c>
      <c r="C143" s="465">
        <v>63500104</v>
      </c>
      <c r="D143" s="470">
        <v>50</v>
      </c>
      <c r="E143" s="819" t="s">
        <v>1314</v>
      </c>
      <c r="F143" s="819" t="s">
        <v>2000</v>
      </c>
      <c r="G143" s="470"/>
      <c r="H143" s="470">
        <v>25</v>
      </c>
      <c r="I143" s="470">
        <v>25</v>
      </c>
      <c r="J143" s="470"/>
      <c r="K143" s="488">
        <v>2686269.01</v>
      </c>
      <c r="L143" s="1007">
        <f t="shared" si="19"/>
        <v>134313450.5</v>
      </c>
      <c r="M143" s="1007">
        <f t="shared" si="20"/>
        <v>0</v>
      </c>
      <c r="N143" s="1007">
        <f t="shared" si="21"/>
        <v>67156725.25</v>
      </c>
      <c r="O143" s="1007">
        <f t="shared" si="22"/>
        <v>67156725.25</v>
      </c>
      <c r="P143" s="1007">
        <f t="shared" si="23"/>
        <v>0</v>
      </c>
      <c r="Q143" s="1207"/>
      <c r="R143" s="1202"/>
      <c r="S143" s="470">
        <v>25</v>
      </c>
      <c r="T143" s="991">
        <f t="shared" si="24"/>
        <v>25</v>
      </c>
      <c r="U143" s="1008">
        <v>61015025.25</v>
      </c>
    </row>
    <row r="144" spans="1:21" ht="15.75">
      <c r="A144" s="473">
        <v>138</v>
      </c>
      <c r="B144" s="819" t="s">
        <v>1399</v>
      </c>
      <c r="C144" s="465">
        <v>63500102</v>
      </c>
      <c r="D144" s="470">
        <v>20</v>
      </c>
      <c r="E144" s="819" t="s">
        <v>1314</v>
      </c>
      <c r="F144" s="819" t="s">
        <v>1991</v>
      </c>
      <c r="G144" s="470"/>
      <c r="H144" s="470">
        <v>10</v>
      </c>
      <c r="I144" s="470">
        <v>10</v>
      </c>
      <c r="J144" s="470"/>
      <c r="K144" s="488">
        <v>2686269.01</v>
      </c>
      <c r="L144" s="1007">
        <f t="shared" si="19"/>
        <v>53725380.199999996</v>
      </c>
      <c r="M144" s="1007">
        <f t="shared" si="20"/>
        <v>0</v>
      </c>
      <c r="N144" s="1007">
        <f t="shared" si="21"/>
        <v>26862690.099999998</v>
      </c>
      <c r="O144" s="1007">
        <f t="shared" si="22"/>
        <v>26862690.099999998</v>
      </c>
      <c r="P144" s="1007">
        <f t="shared" si="23"/>
        <v>0</v>
      </c>
      <c r="Q144" s="1207"/>
      <c r="R144" s="1202"/>
      <c r="S144" s="470">
        <v>10</v>
      </c>
      <c r="T144" s="991">
        <f t="shared" si="24"/>
        <v>10</v>
      </c>
      <c r="U144" s="1008">
        <v>24406410.100000001</v>
      </c>
    </row>
    <row r="145" spans="1:21" ht="15.75">
      <c r="A145" s="473">
        <v>139</v>
      </c>
      <c r="B145" s="819" t="s">
        <v>1401</v>
      </c>
      <c r="C145" s="465">
        <v>63400379</v>
      </c>
      <c r="D145" s="470">
        <v>10</v>
      </c>
      <c r="E145" s="819" t="s">
        <v>1314</v>
      </c>
      <c r="F145" s="819"/>
      <c r="G145" s="470"/>
      <c r="H145" s="470">
        <v>10</v>
      </c>
      <c r="I145" s="470"/>
      <c r="J145" s="470"/>
      <c r="K145" s="488">
        <v>2276932.7799999998</v>
      </c>
      <c r="L145" s="1007">
        <f t="shared" si="19"/>
        <v>22769327.799999997</v>
      </c>
      <c r="M145" s="1007">
        <f t="shared" si="20"/>
        <v>0</v>
      </c>
      <c r="N145" s="1007">
        <f t="shared" si="21"/>
        <v>22769327.799999997</v>
      </c>
      <c r="O145" s="1007">
        <f t="shared" si="22"/>
        <v>0</v>
      </c>
      <c r="P145" s="1007">
        <f t="shared" si="23"/>
        <v>0</v>
      </c>
      <c r="Q145" s="1207"/>
      <c r="R145" s="1202"/>
      <c r="S145" s="470">
        <v>10</v>
      </c>
      <c r="T145" s="991">
        <f t="shared" si="24"/>
        <v>0</v>
      </c>
      <c r="U145" s="1008">
        <v>18323044.399999999</v>
      </c>
    </row>
    <row r="146" spans="1:21" ht="15.75">
      <c r="A146" s="473">
        <v>140</v>
      </c>
      <c r="B146" s="819" t="s">
        <v>1401</v>
      </c>
      <c r="C146" s="465">
        <v>63400357</v>
      </c>
      <c r="D146" s="470">
        <v>6</v>
      </c>
      <c r="E146" s="819" t="s">
        <v>1314</v>
      </c>
      <c r="F146" s="819"/>
      <c r="G146" s="470"/>
      <c r="H146" s="470">
        <v>6</v>
      </c>
      <c r="I146" s="470"/>
      <c r="J146" s="470"/>
      <c r="K146" s="488">
        <v>10540407.91</v>
      </c>
      <c r="L146" s="1007">
        <f t="shared" si="19"/>
        <v>63242447.460000001</v>
      </c>
      <c r="M146" s="1007">
        <f t="shared" si="20"/>
        <v>0</v>
      </c>
      <c r="N146" s="1007">
        <f t="shared" si="21"/>
        <v>63242447.460000001</v>
      </c>
      <c r="O146" s="1007">
        <f t="shared" si="22"/>
        <v>0</v>
      </c>
      <c r="P146" s="1007">
        <f t="shared" si="23"/>
        <v>0</v>
      </c>
      <c r="Q146" s="1207"/>
      <c r="R146" s="1202"/>
      <c r="S146" s="470">
        <v>6</v>
      </c>
      <c r="T146" s="991">
        <f t="shared" si="24"/>
        <v>0</v>
      </c>
      <c r="U146" s="1008">
        <v>50890770.579999998</v>
      </c>
    </row>
    <row r="147" spans="1:21" ht="15.75">
      <c r="A147" s="473">
        <v>141</v>
      </c>
      <c r="B147" s="819" t="s">
        <v>1401</v>
      </c>
      <c r="C147" s="465">
        <v>64500292</v>
      </c>
      <c r="D147" s="470">
        <v>6</v>
      </c>
      <c r="E147" s="819" t="s">
        <v>1314</v>
      </c>
      <c r="F147" s="819"/>
      <c r="G147" s="470"/>
      <c r="H147" s="470">
        <v>6</v>
      </c>
      <c r="I147" s="470"/>
      <c r="J147" s="470"/>
      <c r="K147" s="488">
        <v>18113128.149999999</v>
      </c>
      <c r="L147" s="1007">
        <f t="shared" si="19"/>
        <v>108678768.89999999</v>
      </c>
      <c r="M147" s="1007">
        <f t="shared" si="20"/>
        <v>0</v>
      </c>
      <c r="N147" s="1007">
        <f t="shared" si="21"/>
        <v>108678768.89999999</v>
      </c>
      <c r="O147" s="1007">
        <f t="shared" si="22"/>
        <v>0</v>
      </c>
      <c r="P147" s="1007">
        <f t="shared" si="23"/>
        <v>0</v>
      </c>
      <c r="Q147" s="1207"/>
      <c r="R147" s="1202"/>
      <c r="S147" s="470">
        <v>6</v>
      </c>
      <c r="T147" s="991">
        <f t="shared" si="24"/>
        <v>0</v>
      </c>
      <c r="U147" s="1008">
        <v>87456508.680000007</v>
      </c>
    </row>
    <row r="148" spans="1:21" ht="15.75">
      <c r="A148" s="473">
        <v>142</v>
      </c>
      <c r="B148" s="819" t="s">
        <v>1402</v>
      </c>
      <c r="C148" s="465">
        <v>63500363</v>
      </c>
      <c r="D148" s="470">
        <v>4</v>
      </c>
      <c r="E148" s="819" t="s">
        <v>1314</v>
      </c>
      <c r="F148" s="819"/>
      <c r="G148" s="470"/>
      <c r="H148" s="470">
        <v>2</v>
      </c>
      <c r="I148" s="470">
        <v>2</v>
      </c>
      <c r="J148" s="470"/>
      <c r="K148" s="488">
        <v>2788603.06</v>
      </c>
      <c r="L148" s="1007">
        <f t="shared" si="19"/>
        <v>11154412.24</v>
      </c>
      <c r="M148" s="1007">
        <f t="shared" si="20"/>
        <v>0</v>
      </c>
      <c r="N148" s="1007">
        <f t="shared" si="21"/>
        <v>5577206.1200000001</v>
      </c>
      <c r="O148" s="1007">
        <f t="shared" si="22"/>
        <v>5577206.1200000001</v>
      </c>
      <c r="P148" s="1007">
        <f t="shared" si="23"/>
        <v>0</v>
      </c>
      <c r="Q148" s="1207"/>
      <c r="R148" s="1202"/>
      <c r="S148" s="470">
        <v>2</v>
      </c>
      <c r="T148" s="991">
        <f t="shared" si="24"/>
        <v>2</v>
      </c>
      <c r="U148" s="1008">
        <v>4488116.5</v>
      </c>
    </row>
    <row r="149" spans="1:21" ht="15.75">
      <c r="A149" s="473">
        <v>143</v>
      </c>
      <c r="B149" s="819" t="s">
        <v>1403</v>
      </c>
      <c r="C149" s="465">
        <v>63611121</v>
      </c>
      <c r="D149" s="470">
        <v>5</v>
      </c>
      <c r="E149" s="819" t="s">
        <v>1314</v>
      </c>
      <c r="F149" s="819"/>
      <c r="G149" s="470"/>
      <c r="H149" s="470">
        <v>2</v>
      </c>
      <c r="I149" s="470">
        <v>2</v>
      </c>
      <c r="J149" s="470">
        <v>1</v>
      </c>
      <c r="K149" s="488">
        <v>24534590.25</v>
      </c>
      <c r="L149" s="1007">
        <f t="shared" si="19"/>
        <v>122672951.25</v>
      </c>
      <c r="M149" s="1007">
        <f t="shared" si="20"/>
        <v>0</v>
      </c>
      <c r="N149" s="1007">
        <f t="shared" si="21"/>
        <v>49069180.5</v>
      </c>
      <c r="O149" s="1007">
        <f t="shared" si="22"/>
        <v>49069180.5</v>
      </c>
      <c r="P149" s="1007">
        <f t="shared" si="23"/>
        <v>24534590.25</v>
      </c>
      <c r="Q149" s="1207"/>
      <c r="R149" s="1202"/>
      <c r="S149" s="470">
        <v>2</v>
      </c>
      <c r="T149" s="991">
        <f t="shared" si="24"/>
        <v>3</v>
      </c>
      <c r="U149" s="1008">
        <v>39487190.119999997</v>
      </c>
    </row>
    <row r="150" spans="1:21" ht="15.75">
      <c r="A150" s="473">
        <v>144</v>
      </c>
      <c r="B150" s="819" t="s">
        <v>1404</v>
      </c>
      <c r="C150" s="465">
        <v>64500241</v>
      </c>
      <c r="D150" s="470">
        <v>5</v>
      </c>
      <c r="E150" s="819" t="s">
        <v>1314</v>
      </c>
      <c r="F150" s="819"/>
      <c r="G150" s="470"/>
      <c r="H150" s="470">
        <v>2</v>
      </c>
      <c r="I150" s="470">
        <v>2</v>
      </c>
      <c r="J150" s="470">
        <v>1</v>
      </c>
      <c r="K150" s="488">
        <v>5142286.38</v>
      </c>
      <c r="L150" s="1007">
        <f t="shared" si="19"/>
        <v>25711431.899999999</v>
      </c>
      <c r="M150" s="1007">
        <f t="shared" si="20"/>
        <v>0</v>
      </c>
      <c r="N150" s="1007">
        <f t="shared" si="21"/>
        <v>10284572.76</v>
      </c>
      <c r="O150" s="1007">
        <f t="shared" si="22"/>
        <v>10284572.76</v>
      </c>
      <c r="P150" s="1007">
        <f t="shared" si="23"/>
        <v>5142286.38</v>
      </c>
      <c r="Q150" s="1207"/>
      <c r="R150" s="1202"/>
      <c r="S150" s="470">
        <v>2</v>
      </c>
      <c r="T150" s="991">
        <f t="shared" si="24"/>
        <v>3</v>
      </c>
      <c r="U150" s="1008">
        <v>8276251.5199999996</v>
      </c>
    </row>
    <row r="151" spans="1:21" ht="15.75">
      <c r="A151" s="473">
        <v>145</v>
      </c>
      <c r="B151" s="819" t="s">
        <v>1405</v>
      </c>
      <c r="C151" s="465">
        <v>64400112</v>
      </c>
      <c r="D151" s="470">
        <v>5</v>
      </c>
      <c r="E151" s="819" t="s">
        <v>1314</v>
      </c>
      <c r="F151" s="819"/>
      <c r="G151" s="470"/>
      <c r="H151" s="470">
        <v>3</v>
      </c>
      <c r="I151" s="470">
        <v>1</v>
      </c>
      <c r="J151" s="470">
        <v>1</v>
      </c>
      <c r="K151" s="488">
        <v>39526529.649999999</v>
      </c>
      <c r="L151" s="1007">
        <f t="shared" si="19"/>
        <v>197632648.25</v>
      </c>
      <c r="M151" s="1007">
        <f t="shared" si="20"/>
        <v>0</v>
      </c>
      <c r="N151" s="1007">
        <f t="shared" si="21"/>
        <v>118579588.94999999</v>
      </c>
      <c r="O151" s="1007">
        <f t="shared" si="22"/>
        <v>39526529.649999999</v>
      </c>
      <c r="P151" s="1007">
        <f t="shared" si="23"/>
        <v>39526529.649999999</v>
      </c>
      <c r="Q151" s="1207"/>
      <c r="R151" s="1202"/>
      <c r="S151" s="470">
        <v>3</v>
      </c>
      <c r="T151" s="991">
        <f t="shared" si="24"/>
        <v>2</v>
      </c>
      <c r="U151" s="1008">
        <v>95423944.859999999</v>
      </c>
    </row>
    <row r="152" spans="1:21" ht="15.75">
      <c r="A152" s="473">
        <v>146</v>
      </c>
      <c r="B152" s="819" t="s">
        <v>1406</v>
      </c>
      <c r="C152" s="465">
        <v>64400117</v>
      </c>
      <c r="D152" s="470">
        <v>5</v>
      </c>
      <c r="E152" s="819" t="s">
        <v>1314</v>
      </c>
      <c r="F152" s="819"/>
      <c r="G152" s="470"/>
      <c r="H152" s="470">
        <v>3</v>
      </c>
      <c r="I152" s="470">
        <v>1</v>
      </c>
      <c r="J152" s="470">
        <v>1</v>
      </c>
      <c r="K152" s="488">
        <v>36328590.359999999</v>
      </c>
      <c r="L152" s="1007">
        <f t="shared" si="19"/>
        <v>181642951.80000001</v>
      </c>
      <c r="M152" s="1007">
        <f t="shared" si="20"/>
        <v>0</v>
      </c>
      <c r="N152" s="1007">
        <f t="shared" si="21"/>
        <v>108985771.08</v>
      </c>
      <c r="O152" s="1007">
        <f t="shared" si="22"/>
        <v>36328590.359999999</v>
      </c>
      <c r="P152" s="1007">
        <f t="shared" si="23"/>
        <v>36328590.359999999</v>
      </c>
      <c r="Q152" s="1207"/>
      <c r="R152" s="1202"/>
      <c r="S152" s="470">
        <v>3</v>
      </c>
      <c r="T152" s="991">
        <f t="shared" si="24"/>
        <v>2</v>
      </c>
      <c r="U152" s="1008">
        <v>87703560.959999993</v>
      </c>
    </row>
    <row r="153" spans="1:21" ht="15.75">
      <c r="A153" s="473">
        <v>147</v>
      </c>
      <c r="B153" s="819" t="s">
        <v>1408</v>
      </c>
      <c r="C153" s="465">
        <v>80100128</v>
      </c>
      <c r="D153" s="470">
        <v>100</v>
      </c>
      <c r="E153" s="819" t="s">
        <v>1314</v>
      </c>
      <c r="F153" s="819"/>
      <c r="G153" s="470"/>
      <c r="H153" s="470">
        <v>50</v>
      </c>
      <c r="I153" s="470">
        <v>50</v>
      </c>
      <c r="J153" s="470"/>
      <c r="K153" s="488">
        <v>19329.77</v>
      </c>
      <c r="L153" s="1007">
        <f t="shared" si="19"/>
        <v>1932977</v>
      </c>
      <c r="M153" s="1007">
        <f t="shared" si="20"/>
        <v>0</v>
      </c>
      <c r="N153" s="1007">
        <f t="shared" si="21"/>
        <v>966488.5</v>
      </c>
      <c r="O153" s="1007">
        <f t="shared" si="22"/>
        <v>966488.5</v>
      </c>
      <c r="P153" s="1007">
        <f t="shared" si="23"/>
        <v>0</v>
      </c>
      <c r="Q153" s="1207"/>
      <c r="R153" s="1202"/>
      <c r="S153" s="470">
        <v>50</v>
      </c>
      <c r="T153" s="991">
        <f t="shared" si="24"/>
        <v>50</v>
      </c>
      <c r="U153" s="1008">
        <v>777757</v>
      </c>
    </row>
    <row r="154" spans="1:21" ht="15.75">
      <c r="A154" s="473">
        <v>148</v>
      </c>
      <c r="B154" s="819" t="s">
        <v>860</v>
      </c>
      <c r="C154" s="465">
        <v>64400142</v>
      </c>
      <c r="D154" s="470">
        <v>20</v>
      </c>
      <c r="E154" s="819" t="s">
        <v>1314</v>
      </c>
      <c r="F154" s="819"/>
      <c r="G154" s="470"/>
      <c r="H154" s="470">
        <v>10</v>
      </c>
      <c r="I154" s="470">
        <v>10</v>
      </c>
      <c r="J154" s="470"/>
      <c r="K154" s="488">
        <v>1790846</v>
      </c>
      <c r="L154" s="1007">
        <f t="shared" si="19"/>
        <v>35816920</v>
      </c>
      <c r="M154" s="1007">
        <f t="shared" si="20"/>
        <v>0</v>
      </c>
      <c r="N154" s="1007">
        <f t="shared" si="21"/>
        <v>17908460</v>
      </c>
      <c r="O154" s="1007">
        <f t="shared" si="22"/>
        <v>17908460</v>
      </c>
      <c r="P154" s="1007">
        <f t="shared" si="23"/>
        <v>0</v>
      </c>
      <c r="Q154" s="1207"/>
      <c r="R154" s="1202"/>
      <c r="S154" s="470">
        <v>10</v>
      </c>
      <c r="T154" s="991">
        <f t="shared" si="24"/>
        <v>10</v>
      </c>
      <c r="U154" s="1008">
        <v>14411383.300000001</v>
      </c>
    </row>
    <row r="155" spans="1:21" ht="15.75">
      <c r="A155" s="473">
        <v>149</v>
      </c>
      <c r="B155" s="819" t="s">
        <v>1394</v>
      </c>
      <c r="C155" s="465">
        <v>63300152</v>
      </c>
      <c r="D155" s="470">
        <v>10</v>
      </c>
      <c r="E155" s="819" t="s">
        <v>1314</v>
      </c>
      <c r="F155" s="819"/>
      <c r="G155" s="470"/>
      <c r="H155" s="470">
        <v>5</v>
      </c>
      <c r="I155" s="470">
        <v>5</v>
      </c>
      <c r="J155" s="470"/>
      <c r="K155" s="488">
        <v>9363566.25</v>
      </c>
      <c r="L155" s="1007">
        <f t="shared" si="19"/>
        <v>93635662.5</v>
      </c>
      <c r="M155" s="1007">
        <f t="shared" si="20"/>
        <v>0</v>
      </c>
      <c r="N155" s="1007">
        <f t="shared" si="21"/>
        <v>46817831.25</v>
      </c>
      <c r="O155" s="1007">
        <f t="shared" si="22"/>
        <v>46817831.25</v>
      </c>
      <c r="P155" s="1007">
        <f t="shared" si="23"/>
        <v>0</v>
      </c>
      <c r="Q155" s="1207"/>
      <c r="R155" s="1202"/>
      <c r="S155" s="470">
        <v>5</v>
      </c>
      <c r="T155" s="991">
        <f t="shared" si="24"/>
        <v>5</v>
      </c>
      <c r="U155" s="1008">
        <v>37675473.350000001</v>
      </c>
    </row>
    <row r="156" spans="1:21" ht="15.75">
      <c r="A156" s="473">
        <v>150</v>
      </c>
      <c r="B156" s="819" t="s">
        <v>1394</v>
      </c>
      <c r="C156" s="465">
        <v>63300144</v>
      </c>
      <c r="D156" s="470">
        <v>5</v>
      </c>
      <c r="E156" s="819" t="s">
        <v>1314</v>
      </c>
      <c r="F156" s="819"/>
      <c r="G156" s="470"/>
      <c r="H156" s="470">
        <v>5</v>
      </c>
      <c r="I156" s="470"/>
      <c r="J156" s="470"/>
      <c r="K156" s="488">
        <v>9158898.1300000008</v>
      </c>
      <c r="L156" s="1007">
        <f t="shared" si="19"/>
        <v>45794490.650000006</v>
      </c>
      <c r="M156" s="1007">
        <f t="shared" si="20"/>
        <v>0</v>
      </c>
      <c r="N156" s="1007">
        <f t="shared" si="21"/>
        <v>45794490.650000006</v>
      </c>
      <c r="O156" s="1007">
        <f t="shared" si="22"/>
        <v>0</v>
      </c>
      <c r="P156" s="1007">
        <f t="shared" si="23"/>
        <v>0</v>
      </c>
      <c r="Q156" s="1207"/>
      <c r="R156" s="1202"/>
      <c r="S156" s="470">
        <v>5</v>
      </c>
      <c r="T156" s="991">
        <f t="shared" si="24"/>
        <v>0</v>
      </c>
      <c r="U156" s="1008">
        <v>36851965.75</v>
      </c>
    </row>
    <row r="157" spans="1:21" ht="15.75">
      <c r="A157" s="473">
        <v>151</v>
      </c>
      <c r="B157" s="819" t="s">
        <v>1394</v>
      </c>
      <c r="C157" s="465">
        <v>63300146</v>
      </c>
      <c r="D157" s="470">
        <v>5</v>
      </c>
      <c r="E157" s="819" t="s">
        <v>1314</v>
      </c>
      <c r="F157" s="819"/>
      <c r="G157" s="470"/>
      <c r="H157" s="470">
        <v>5</v>
      </c>
      <c r="I157" s="470"/>
      <c r="J157" s="470"/>
      <c r="K157" s="488">
        <v>3018854.69</v>
      </c>
      <c r="L157" s="1007">
        <f t="shared" si="19"/>
        <v>15094273.449999999</v>
      </c>
      <c r="M157" s="1007">
        <f t="shared" si="20"/>
        <v>0</v>
      </c>
      <c r="N157" s="1007">
        <f t="shared" si="21"/>
        <v>15094273.449999999</v>
      </c>
      <c r="O157" s="1007">
        <f t="shared" si="22"/>
        <v>0</v>
      </c>
      <c r="P157" s="1007">
        <f t="shared" si="23"/>
        <v>0</v>
      </c>
      <c r="Q157" s="1207"/>
      <c r="R157" s="1202"/>
      <c r="S157" s="470">
        <v>5</v>
      </c>
      <c r="T157" s="991">
        <f t="shared" si="24"/>
        <v>0</v>
      </c>
      <c r="U157" s="1008">
        <v>12146737.300000001</v>
      </c>
    </row>
    <row r="158" spans="1:21" ht="15.75">
      <c r="A158" s="473">
        <v>152</v>
      </c>
      <c r="B158" s="819" t="s">
        <v>1394</v>
      </c>
      <c r="C158" s="465">
        <v>63300133</v>
      </c>
      <c r="D158" s="470">
        <v>3</v>
      </c>
      <c r="E158" s="819" t="s">
        <v>1314</v>
      </c>
      <c r="F158" s="819"/>
      <c r="G158" s="470"/>
      <c r="H158" s="470">
        <v>3</v>
      </c>
      <c r="I158" s="470"/>
      <c r="J158" s="470"/>
      <c r="K158" s="488">
        <v>5705123.7000000002</v>
      </c>
      <c r="L158" s="1007">
        <f t="shared" si="19"/>
        <v>17115371.100000001</v>
      </c>
      <c r="M158" s="1007">
        <f t="shared" si="20"/>
        <v>0</v>
      </c>
      <c r="N158" s="1007">
        <f t="shared" si="21"/>
        <v>17115371.100000001</v>
      </c>
      <c r="O158" s="1007">
        <f t="shared" si="22"/>
        <v>0</v>
      </c>
      <c r="P158" s="1007">
        <f t="shared" si="23"/>
        <v>0</v>
      </c>
      <c r="Q158" s="1207"/>
      <c r="R158" s="1202"/>
      <c r="S158" s="470">
        <v>3</v>
      </c>
      <c r="T158" s="991">
        <f t="shared" si="24"/>
        <v>0</v>
      </c>
      <c r="U158" s="1008">
        <v>13773164.85</v>
      </c>
    </row>
    <row r="159" spans="1:21" ht="15.75">
      <c r="A159" s="473">
        <v>153</v>
      </c>
      <c r="B159" s="819" t="s">
        <v>1409</v>
      </c>
      <c r="C159" s="465">
        <v>63300186</v>
      </c>
      <c r="D159" s="470">
        <v>1</v>
      </c>
      <c r="E159" s="819" t="s">
        <v>1314</v>
      </c>
      <c r="F159" s="819"/>
      <c r="G159" s="470"/>
      <c r="H159" s="470">
        <v>1</v>
      </c>
      <c r="I159" s="470"/>
      <c r="J159" s="470"/>
      <c r="K159" s="488">
        <v>642657880.12</v>
      </c>
      <c r="L159" s="1007">
        <f t="shared" si="19"/>
        <v>642657880.12</v>
      </c>
      <c r="M159" s="1007">
        <f t="shared" si="20"/>
        <v>0</v>
      </c>
      <c r="N159" s="1007">
        <f t="shared" si="21"/>
        <v>642657880.12</v>
      </c>
      <c r="O159" s="1007">
        <f t="shared" si="22"/>
        <v>0</v>
      </c>
      <c r="P159" s="1007">
        <f t="shared" si="23"/>
        <v>0</v>
      </c>
      <c r="Q159" s="1207"/>
      <c r="R159" s="1202"/>
      <c r="S159" s="470">
        <v>1</v>
      </c>
      <c r="T159" s="991">
        <f t="shared" si="24"/>
        <v>0</v>
      </c>
      <c r="U159" s="1008">
        <v>517162782.04000002</v>
      </c>
    </row>
    <row r="160" spans="1:21" ht="15.75">
      <c r="A160" s="473">
        <v>154</v>
      </c>
      <c r="B160" s="819" t="s">
        <v>1410</v>
      </c>
      <c r="C160" s="465">
        <v>65100156</v>
      </c>
      <c r="D160" s="470">
        <v>5</v>
      </c>
      <c r="E160" s="819" t="s">
        <v>1314</v>
      </c>
      <c r="F160" s="819"/>
      <c r="G160" s="470"/>
      <c r="H160" s="470">
        <v>3</v>
      </c>
      <c r="I160" s="470">
        <v>2</v>
      </c>
      <c r="J160" s="470"/>
      <c r="K160" s="488">
        <v>25583514.34</v>
      </c>
      <c r="L160" s="1007">
        <f t="shared" si="19"/>
        <v>127917571.7</v>
      </c>
      <c r="M160" s="1007">
        <f t="shared" si="20"/>
        <v>0</v>
      </c>
      <c r="N160" s="1007">
        <f t="shared" si="21"/>
        <v>76750543.019999996</v>
      </c>
      <c r="O160" s="1007">
        <f t="shared" si="22"/>
        <v>51167028.68</v>
      </c>
      <c r="P160" s="1007">
        <f t="shared" si="23"/>
        <v>0</v>
      </c>
      <c r="Q160" s="1207"/>
      <c r="R160" s="1202"/>
      <c r="S160" s="470">
        <v>3</v>
      </c>
      <c r="T160" s="991">
        <f t="shared" si="24"/>
        <v>2</v>
      </c>
      <c r="U160" s="1008">
        <v>8646829.9499999993</v>
      </c>
    </row>
    <row r="161" spans="1:21" ht="15.75">
      <c r="A161" s="473">
        <v>155</v>
      </c>
      <c r="B161" s="819" t="s">
        <v>1411</v>
      </c>
      <c r="C161" s="465">
        <v>64400106</v>
      </c>
      <c r="D161" s="470">
        <v>1</v>
      </c>
      <c r="E161" s="819" t="s">
        <v>1314</v>
      </c>
      <c r="F161" s="819"/>
      <c r="G161" s="470"/>
      <c r="H161" s="470">
        <v>1</v>
      </c>
      <c r="I161" s="470"/>
      <c r="J161" s="470"/>
      <c r="K161" s="488">
        <v>154601177.13</v>
      </c>
      <c r="L161" s="1007">
        <f t="shared" si="19"/>
        <v>154601177.13</v>
      </c>
      <c r="M161" s="1007">
        <f t="shared" si="20"/>
        <v>0</v>
      </c>
      <c r="N161" s="1007">
        <f t="shared" si="21"/>
        <v>154601177.13</v>
      </c>
      <c r="O161" s="1007">
        <f t="shared" si="22"/>
        <v>0</v>
      </c>
      <c r="P161" s="1007">
        <f t="shared" si="23"/>
        <v>0</v>
      </c>
      <c r="Q161" s="1207"/>
      <c r="R161" s="1202"/>
      <c r="S161" s="470">
        <v>1</v>
      </c>
      <c r="T161" s="991">
        <f t="shared" si="24"/>
        <v>0</v>
      </c>
      <c r="U161" s="1008">
        <v>124411412.89</v>
      </c>
    </row>
    <row r="162" spans="1:21" ht="15.75">
      <c r="A162" s="473">
        <v>156</v>
      </c>
      <c r="B162" s="819" t="s">
        <v>1400</v>
      </c>
      <c r="C162" s="465">
        <v>80200124</v>
      </c>
      <c r="D162" s="470">
        <v>20</v>
      </c>
      <c r="E162" s="819" t="s">
        <v>1314</v>
      </c>
      <c r="F162" s="819"/>
      <c r="G162" s="470"/>
      <c r="H162" s="470">
        <v>20</v>
      </c>
      <c r="I162" s="470"/>
      <c r="J162" s="470"/>
      <c r="K162" s="488">
        <v>99775.71</v>
      </c>
      <c r="L162" s="1007">
        <f t="shared" si="19"/>
        <v>1995514.2000000002</v>
      </c>
      <c r="M162" s="1007">
        <f t="shared" si="20"/>
        <v>0</v>
      </c>
      <c r="N162" s="1007">
        <f t="shared" si="21"/>
        <v>1995514.2000000002</v>
      </c>
      <c r="O162" s="1007">
        <f t="shared" si="22"/>
        <v>0</v>
      </c>
      <c r="P162" s="1007">
        <f t="shared" si="23"/>
        <v>0</v>
      </c>
      <c r="Q162" s="1207"/>
      <c r="R162" s="1202"/>
      <c r="S162" s="470">
        <v>20</v>
      </c>
      <c r="T162" s="991">
        <f t="shared" si="24"/>
        <v>0</v>
      </c>
      <c r="U162" s="1008">
        <v>1605839.8</v>
      </c>
    </row>
    <row r="163" spans="1:21" ht="15.75">
      <c r="A163" s="473">
        <v>157</v>
      </c>
      <c r="B163" s="819" t="s">
        <v>965</v>
      </c>
      <c r="C163" s="819">
        <v>64500145</v>
      </c>
      <c r="D163" s="470">
        <v>4</v>
      </c>
      <c r="E163" s="819" t="s">
        <v>1314</v>
      </c>
      <c r="F163" s="819"/>
      <c r="G163" s="470"/>
      <c r="H163" s="470">
        <v>2</v>
      </c>
      <c r="I163" s="470">
        <v>2</v>
      </c>
      <c r="J163" s="470"/>
      <c r="K163" s="488">
        <v>60530594.920000002</v>
      </c>
      <c r="L163" s="1007">
        <f t="shared" ref="L163:L169" si="25">K163*D163</f>
        <v>242122379.68000001</v>
      </c>
      <c r="M163" s="1007">
        <f t="shared" ref="M163:M169" si="26">K163*G163</f>
        <v>0</v>
      </c>
      <c r="N163" s="1007">
        <f t="shared" ref="N163:N169" si="27">K163*H163</f>
        <v>121061189.84</v>
      </c>
      <c r="O163" s="1007">
        <f t="shared" ref="O163:O169" si="28">K163*I163</f>
        <v>121061189.84</v>
      </c>
      <c r="P163" s="1007">
        <f t="shared" ref="P163:P169" si="29">K163*J163</f>
        <v>0</v>
      </c>
      <c r="Q163" s="1207"/>
      <c r="R163" s="1202"/>
      <c r="S163" s="470">
        <v>2</v>
      </c>
      <c r="T163" s="991">
        <f t="shared" ref="T163:T226" si="30">G163+H163+I163+J163-S163</f>
        <v>2</v>
      </c>
      <c r="U163" s="1008">
        <v>97420950.819999993</v>
      </c>
    </row>
    <row r="164" spans="1:21" ht="15.75">
      <c r="A164" s="473">
        <v>158</v>
      </c>
      <c r="B164" s="819" t="s">
        <v>2001</v>
      </c>
      <c r="C164" s="466">
        <v>65500104</v>
      </c>
      <c r="D164" s="470">
        <v>1</v>
      </c>
      <c r="E164" s="819" t="s">
        <v>1314</v>
      </c>
      <c r="F164" s="473"/>
      <c r="G164" s="470"/>
      <c r="H164" s="470"/>
      <c r="I164" s="470">
        <v>1</v>
      </c>
      <c r="J164" s="470"/>
      <c r="K164" s="488">
        <v>270161911.38999999</v>
      </c>
      <c r="L164" s="1007">
        <f t="shared" si="25"/>
        <v>270161911.38999999</v>
      </c>
      <c r="M164" s="1007">
        <f t="shared" si="26"/>
        <v>0</v>
      </c>
      <c r="N164" s="1007">
        <f t="shared" si="27"/>
        <v>0</v>
      </c>
      <c r="O164" s="1007">
        <f t="shared" si="28"/>
        <v>270161911.38999999</v>
      </c>
      <c r="P164" s="1007">
        <f t="shared" si="29"/>
        <v>0</v>
      </c>
      <c r="Q164" s="1207"/>
      <c r="R164" s="1202"/>
      <c r="S164" s="470"/>
      <c r="T164" s="991">
        <f t="shared" si="30"/>
        <v>1</v>
      </c>
      <c r="U164" s="1008"/>
    </row>
    <row r="165" spans="1:21" ht="15.75">
      <c r="A165" s="473">
        <v>159</v>
      </c>
      <c r="B165" s="819" t="s">
        <v>927</v>
      </c>
      <c r="C165" s="466">
        <v>63200196</v>
      </c>
      <c r="D165" s="470">
        <v>20</v>
      </c>
      <c r="E165" s="819" t="s">
        <v>1314</v>
      </c>
      <c r="F165" s="473"/>
      <c r="G165" s="470"/>
      <c r="H165" s="470">
        <v>10</v>
      </c>
      <c r="I165" s="470">
        <v>10</v>
      </c>
      <c r="J165" s="470"/>
      <c r="K165" s="488">
        <v>1432676.8</v>
      </c>
      <c r="L165" s="1007">
        <f t="shared" si="25"/>
        <v>28653536</v>
      </c>
      <c r="M165" s="1007">
        <f t="shared" si="26"/>
        <v>0</v>
      </c>
      <c r="N165" s="1007">
        <f t="shared" si="27"/>
        <v>14326768</v>
      </c>
      <c r="O165" s="1007">
        <f t="shared" si="28"/>
        <v>14326768</v>
      </c>
      <c r="P165" s="1007">
        <f t="shared" si="29"/>
        <v>0</v>
      </c>
      <c r="Q165" s="1207"/>
      <c r="R165" s="1202"/>
      <c r="S165" s="470">
        <v>10</v>
      </c>
      <c r="T165" s="991">
        <f t="shared" si="30"/>
        <v>10</v>
      </c>
      <c r="U165" s="1008">
        <v>11529106.6</v>
      </c>
    </row>
    <row r="166" spans="1:21" ht="15.75">
      <c r="A166" s="473">
        <v>160</v>
      </c>
      <c r="B166" s="819" t="s">
        <v>2002</v>
      </c>
      <c r="C166" s="466">
        <v>88169113</v>
      </c>
      <c r="D166" s="470">
        <v>6</v>
      </c>
      <c r="E166" s="819" t="s">
        <v>1314</v>
      </c>
      <c r="F166" s="473"/>
      <c r="G166" s="470"/>
      <c r="H166" s="470">
        <v>6</v>
      </c>
      <c r="I166" s="470"/>
      <c r="J166" s="470"/>
      <c r="K166" s="488">
        <v>383752.72</v>
      </c>
      <c r="L166" s="1007">
        <f t="shared" si="25"/>
        <v>2302516.3199999998</v>
      </c>
      <c r="M166" s="1007">
        <f t="shared" si="26"/>
        <v>0</v>
      </c>
      <c r="N166" s="1007">
        <f t="shared" si="27"/>
        <v>2302516.3199999998</v>
      </c>
      <c r="O166" s="1007">
        <f t="shared" si="28"/>
        <v>0</v>
      </c>
      <c r="P166" s="1007">
        <f t="shared" si="29"/>
        <v>0</v>
      </c>
      <c r="Q166" s="1207"/>
      <c r="R166" s="1202"/>
      <c r="S166" s="470">
        <v>6</v>
      </c>
      <c r="T166" s="991">
        <f t="shared" si="30"/>
        <v>0</v>
      </c>
      <c r="U166" s="1008">
        <v>1852892.1599999999</v>
      </c>
    </row>
    <row r="167" spans="1:21" ht="15.75">
      <c r="A167" s="473">
        <v>161</v>
      </c>
      <c r="B167" s="819" t="s">
        <v>2003</v>
      </c>
      <c r="C167" s="466">
        <v>64500144</v>
      </c>
      <c r="D167" s="470">
        <v>1</v>
      </c>
      <c r="E167" s="819" t="s">
        <v>1314</v>
      </c>
      <c r="F167" s="473"/>
      <c r="G167" s="470"/>
      <c r="H167" s="470">
        <v>1</v>
      </c>
      <c r="I167" s="470"/>
      <c r="J167" s="470"/>
      <c r="K167" s="488">
        <v>6702880.7599999998</v>
      </c>
      <c r="L167" s="1007">
        <f t="shared" si="25"/>
        <v>6702880.7599999998</v>
      </c>
      <c r="M167" s="1007">
        <f t="shared" si="26"/>
        <v>0</v>
      </c>
      <c r="N167" s="1007">
        <f t="shared" si="27"/>
        <v>6702880.7599999998</v>
      </c>
      <c r="O167" s="1007">
        <f t="shared" si="28"/>
        <v>0</v>
      </c>
      <c r="P167" s="1007">
        <f t="shared" si="29"/>
        <v>0</v>
      </c>
      <c r="Q167" s="1207"/>
      <c r="R167" s="1202"/>
      <c r="S167" s="470">
        <v>1</v>
      </c>
      <c r="T167" s="991">
        <f t="shared" si="30"/>
        <v>0</v>
      </c>
      <c r="U167" s="1008">
        <v>5393974.96</v>
      </c>
    </row>
    <row r="168" spans="1:21" ht="15.75">
      <c r="A168" s="473">
        <v>162</v>
      </c>
      <c r="B168" s="819" t="s">
        <v>1394</v>
      </c>
      <c r="C168" s="466">
        <v>63300139</v>
      </c>
      <c r="D168" s="470">
        <v>5</v>
      </c>
      <c r="E168" s="819" t="s">
        <v>1314</v>
      </c>
      <c r="F168" s="473"/>
      <c r="G168" s="470"/>
      <c r="H168" s="470">
        <v>5</v>
      </c>
      <c r="I168" s="470"/>
      <c r="J168" s="470"/>
      <c r="K168" s="488">
        <v>767505.43</v>
      </c>
      <c r="L168" s="1007">
        <f t="shared" si="25"/>
        <v>3837527.1500000004</v>
      </c>
      <c r="M168" s="1007">
        <f t="shared" si="26"/>
        <v>0</v>
      </c>
      <c r="N168" s="1007">
        <f t="shared" si="27"/>
        <v>3837527.1500000004</v>
      </c>
      <c r="O168" s="1007">
        <f t="shared" si="28"/>
        <v>0</v>
      </c>
      <c r="P168" s="1007">
        <f t="shared" si="29"/>
        <v>0</v>
      </c>
      <c r="Q168" s="1207"/>
      <c r="R168" s="1202"/>
      <c r="S168" s="470">
        <v>5</v>
      </c>
      <c r="T168" s="991">
        <f t="shared" si="30"/>
        <v>0</v>
      </c>
      <c r="U168" s="1008">
        <v>3088153.55</v>
      </c>
    </row>
    <row r="169" spans="1:21" ht="15.75">
      <c r="A169" s="473">
        <v>163</v>
      </c>
      <c r="B169" s="819" t="s">
        <v>1394</v>
      </c>
      <c r="C169" s="466">
        <v>63300150</v>
      </c>
      <c r="D169" s="470">
        <v>3</v>
      </c>
      <c r="E169" s="819" t="s">
        <v>1314</v>
      </c>
      <c r="F169" s="473"/>
      <c r="G169" s="470"/>
      <c r="H169" s="470">
        <v>3</v>
      </c>
      <c r="I169" s="470"/>
      <c r="J169" s="470"/>
      <c r="K169" s="488">
        <v>4272446.8899999997</v>
      </c>
      <c r="L169" s="1007">
        <f t="shared" si="25"/>
        <v>12817340.669999998</v>
      </c>
      <c r="M169" s="1007">
        <f t="shared" si="26"/>
        <v>0</v>
      </c>
      <c r="N169" s="1007">
        <f t="shared" si="27"/>
        <v>12817340.669999998</v>
      </c>
      <c r="O169" s="1007">
        <f t="shared" si="28"/>
        <v>0</v>
      </c>
      <c r="P169" s="1007">
        <f t="shared" si="29"/>
        <v>0</v>
      </c>
      <c r="Q169" s="1207"/>
      <c r="R169" s="1203"/>
      <c r="S169" s="470">
        <v>3</v>
      </c>
      <c r="T169" s="991">
        <f t="shared" si="30"/>
        <v>0</v>
      </c>
      <c r="U169" s="1008">
        <v>10314432.869999999</v>
      </c>
    </row>
    <row r="170" spans="1:21" ht="18.75" customHeight="1">
      <c r="A170" s="1170" t="s">
        <v>1412</v>
      </c>
      <c r="B170" s="1170"/>
      <c r="C170" s="1170"/>
      <c r="D170" s="1170"/>
      <c r="E170" s="1170"/>
      <c r="F170" s="1170"/>
      <c r="G170" s="1170"/>
      <c r="H170" s="1170"/>
      <c r="I170" s="1170"/>
      <c r="J170" s="1170"/>
      <c r="K170" s="1170"/>
      <c r="L170" s="1007">
        <f>SUM(L171:L186)</f>
        <v>482626683.18999994</v>
      </c>
      <c r="M170" s="1007">
        <f>SUM(M171:M186)</f>
        <v>0</v>
      </c>
      <c r="N170" s="1007">
        <f>SUM(N171:N186)</f>
        <v>355841100.88999999</v>
      </c>
      <c r="O170" s="1007">
        <f>SUM(O171:O186)</f>
        <v>126785582.30000001</v>
      </c>
      <c r="P170" s="1007">
        <f>SUM(P171:P186)</f>
        <v>0</v>
      </c>
      <c r="R170" s="445"/>
      <c r="S170" s="445"/>
      <c r="T170" s="991">
        <f t="shared" si="30"/>
        <v>0</v>
      </c>
      <c r="U170" s="1008"/>
    </row>
    <row r="171" spans="1:21" ht="15.75">
      <c r="A171" s="473">
        <v>164</v>
      </c>
      <c r="B171" s="819" t="s">
        <v>1413</v>
      </c>
      <c r="C171" s="819">
        <v>63400399</v>
      </c>
      <c r="D171" s="470">
        <v>8</v>
      </c>
      <c r="E171" s="819" t="s">
        <v>1314</v>
      </c>
      <c r="F171" s="473"/>
      <c r="G171" s="470"/>
      <c r="H171" s="470">
        <v>8</v>
      </c>
      <c r="I171" s="470"/>
      <c r="J171" s="470"/>
      <c r="K171" s="488">
        <v>1355926.26</v>
      </c>
      <c r="L171" s="1007">
        <f>K171*D171</f>
        <v>10847410.08</v>
      </c>
      <c r="M171" s="1007">
        <f>K171*G171</f>
        <v>0</v>
      </c>
      <c r="N171" s="1007">
        <f>K171*H171</f>
        <v>10847410.08</v>
      </c>
      <c r="O171" s="1007">
        <f>K171*I171</f>
        <v>0</v>
      </c>
      <c r="P171" s="1007">
        <f>K171*J171</f>
        <v>0</v>
      </c>
      <c r="Q171" s="1206" t="s">
        <v>4235</v>
      </c>
      <c r="R171" s="1201" t="s">
        <v>4882</v>
      </c>
      <c r="S171" s="445">
        <v>8</v>
      </c>
      <c r="T171" s="991">
        <f t="shared" si="30"/>
        <v>0</v>
      </c>
      <c r="U171" s="1008">
        <v>9318500.8000000007</v>
      </c>
    </row>
    <row r="172" spans="1:21" ht="15.75">
      <c r="A172" s="473">
        <v>165</v>
      </c>
      <c r="B172" s="819" t="s">
        <v>1413</v>
      </c>
      <c r="C172" s="819">
        <v>63400398</v>
      </c>
      <c r="D172" s="470">
        <v>4</v>
      </c>
      <c r="E172" s="819" t="s">
        <v>1314</v>
      </c>
      <c r="F172" s="473"/>
      <c r="G172" s="470"/>
      <c r="H172" s="470">
        <v>4</v>
      </c>
      <c r="I172" s="470"/>
      <c r="J172" s="470"/>
      <c r="K172" s="488">
        <v>1842013.03</v>
      </c>
      <c r="L172" s="1007">
        <f t="shared" ref="L172:L185" si="31">K172*D172</f>
        <v>7368052.1200000001</v>
      </c>
      <c r="M172" s="1007">
        <f t="shared" ref="M172:M186" si="32">K172*G172</f>
        <v>0</v>
      </c>
      <c r="N172" s="1007">
        <f t="shared" ref="N172:N186" si="33">K172*H172</f>
        <v>7368052.1200000001</v>
      </c>
      <c r="O172" s="1007">
        <f t="shared" ref="O172:O186" si="34">K172*I172</f>
        <v>0</v>
      </c>
      <c r="P172" s="1007">
        <f t="shared" ref="P172:P186" si="35">K172*J172</f>
        <v>0</v>
      </c>
      <c r="Q172" s="1207"/>
      <c r="R172" s="1202"/>
      <c r="S172" s="445">
        <v>4</v>
      </c>
      <c r="T172" s="991">
        <f t="shared" si="30"/>
        <v>0</v>
      </c>
      <c r="U172" s="1008">
        <v>6329547.2000000002</v>
      </c>
    </row>
    <row r="173" spans="1:21" ht="15.75">
      <c r="A173" s="473">
        <v>166</v>
      </c>
      <c r="B173" s="819" t="s">
        <v>1328</v>
      </c>
      <c r="C173" s="819">
        <v>63200175</v>
      </c>
      <c r="D173" s="470">
        <v>2</v>
      </c>
      <c r="E173" s="819" t="s">
        <v>1314</v>
      </c>
      <c r="F173" s="473"/>
      <c r="G173" s="470"/>
      <c r="H173" s="470"/>
      <c r="I173" s="470">
        <v>2</v>
      </c>
      <c r="J173" s="470"/>
      <c r="K173" s="488">
        <v>6472629.1299999999</v>
      </c>
      <c r="L173" s="1007">
        <f t="shared" si="31"/>
        <v>12945258.26</v>
      </c>
      <c r="M173" s="1007">
        <f t="shared" si="32"/>
        <v>0</v>
      </c>
      <c r="N173" s="1007">
        <f t="shared" si="33"/>
        <v>0</v>
      </c>
      <c r="O173" s="1007">
        <f t="shared" si="34"/>
        <v>12945258.26</v>
      </c>
      <c r="P173" s="1007">
        <f t="shared" si="35"/>
        <v>0</v>
      </c>
      <c r="Q173" s="1207"/>
      <c r="R173" s="1202"/>
      <c r="S173" s="445"/>
      <c r="T173" s="991">
        <f t="shared" si="30"/>
        <v>2</v>
      </c>
      <c r="U173" s="1008"/>
    </row>
    <row r="174" spans="1:21" ht="15.75">
      <c r="A174" s="473">
        <v>167</v>
      </c>
      <c r="B174" s="819" t="s">
        <v>1414</v>
      </c>
      <c r="C174" s="819">
        <v>63200207</v>
      </c>
      <c r="D174" s="470">
        <v>2</v>
      </c>
      <c r="E174" s="819" t="s">
        <v>1314</v>
      </c>
      <c r="F174" s="473"/>
      <c r="G174" s="470"/>
      <c r="H174" s="470"/>
      <c r="I174" s="470">
        <v>2</v>
      </c>
      <c r="J174" s="470"/>
      <c r="K174" s="488">
        <v>15241774.539999999</v>
      </c>
      <c r="L174" s="1007">
        <f t="shared" si="31"/>
        <v>30483549.079999998</v>
      </c>
      <c r="M174" s="1007">
        <f t="shared" si="32"/>
        <v>0</v>
      </c>
      <c r="N174" s="1007">
        <f t="shared" si="33"/>
        <v>0</v>
      </c>
      <c r="O174" s="1007">
        <f t="shared" si="34"/>
        <v>30483549.079999998</v>
      </c>
      <c r="P174" s="1007">
        <f t="shared" si="35"/>
        <v>0</v>
      </c>
      <c r="Q174" s="1207"/>
      <c r="R174" s="1202"/>
      <c r="S174" s="445"/>
      <c r="T174" s="991">
        <f t="shared" si="30"/>
        <v>2</v>
      </c>
      <c r="U174" s="1008"/>
    </row>
    <row r="175" spans="1:21" ht="15.75">
      <c r="A175" s="473">
        <v>168</v>
      </c>
      <c r="B175" s="819" t="s">
        <v>1415</v>
      </c>
      <c r="C175" s="819">
        <v>63200176</v>
      </c>
      <c r="D175" s="470">
        <v>2</v>
      </c>
      <c r="E175" s="819" t="s">
        <v>1314</v>
      </c>
      <c r="F175" s="473"/>
      <c r="G175" s="470"/>
      <c r="H175" s="470"/>
      <c r="I175" s="470">
        <v>2</v>
      </c>
      <c r="J175" s="470"/>
      <c r="K175" s="488">
        <v>1790846</v>
      </c>
      <c r="L175" s="1007">
        <f t="shared" si="31"/>
        <v>3581692</v>
      </c>
      <c r="M175" s="1007">
        <f t="shared" si="32"/>
        <v>0</v>
      </c>
      <c r="N175" s="1007">
        <f t="shared" si="33"/>
        <v>0</v>
      </c>
      <c r="O175" s="1007">
        <f t="shared" si="34"/>
        <v>3581692</v>
      </c>
      <c r="P175" s="1007">
        <f t="shared" si="35"/>
        <v>0</v>
      </c>
      <c r="Q175" s="1207"/>
      <c r="R175" s="1202"/>
      <c r="S175" s="445"/>
      <c r="T175" s="991">
        <f t="shared" si="30"/>
        <v>2</v>
      </c>
      <c r="U175" s="1008"/>
    </row>
    <row r="176" spans="1:21" ht="15.75">
      <c r="A176" s="473">
        <v>169</v>
      </c>
      <c r="B176" s="819" t="s">
        <v>1359</v>
      </c>
      <c r="C176" s="819">
        <v>63400389</v>
      </c>
      <c r="D176" s="470">
        <v>4</v>
      </c>
      <c r="E176" s="819" t="s">
        <v>1314</v>
      </c>
      <c r="F176" s="473"/>
      <c r="G176" s="470"/>
      <c r="H176" s="470">
        <v>4</v>
      </c>
      <c r="I176" s="470"/>
      <c r="J176" s="470"/>
      <c r="K176" s="488">
        <v>1611761.4</v>
      </c>
      <c r="L176" s="1007">
        <f t="shared" si="31"/>
        <v>6447045.5999999996</v>
      </c>
      <c r="M176" s="1007">
        <f t="shared" si="32"/>
        <v>0</v>
      </c>
      <c r="N176" s="1007">
        <f t="shared" si="33"/>
        <v>6447045.5999999996</v>
      </c>
      <c r="O176" s="1007">
        <f t="shared" si="34"/>
        <v>0</v>
      </c>
      <c r="P176" s="1007">
        <f t="shared" si="35"/>
        <v>0</v>
      </c>
      <c r="Q176" s="1207"/>
      <c r="R176" s="1202"/>
      <c r="S176" s="445">
        <v>4</v>
      </c>
      <c r="T176" s="991">
        <f t="shared" si="30"/>
        <v>0</v>
      </c>
      <c r="U176" s="1008">
        <v>5567658</v>
      </c>
    </row>
    <row r="177" spans="1:21" ht="15.75">
      <c r="A177" s="473">
        <v>170</v>
      </c>
      <c r="B177" s="819" t="s">
        <v>1354</v>
      </c>
      <c r="C177" s="819">
        <v>63200177</v>
      </c>
      <c r="D177" s="470">
        <v>4</v>
      </c>
      <c r="E177" s="819" t="s">
        <v>1314</v>
      </c>
      <c r="F177" s="473"/>
      <c r="G177" s="470"/>
      <c r="H177" s="470">
        <v>4</v>
      </c>
      <c r="I177" s="470"/>
      <c r="J177" s="470"/>
      <c r="K177" s="488">
        <v>716338.4</v>
      </c>
      <c r="L177" s="1007">
        <f t="shared" si="31"/>
        <v>2865353.6</v>
      </c>
      <c r="M177" s="1007">
        <f t="shared" si="32"/>
        <v>0</v>
      </c>
      <c r="N177" s="1007">
        <f t="shared" si="33"/>
        <v>2865353.6</v>
      </c>
      <c r="O177" s="1007">
        <f t="shared" si="34"/>
        <v>0</v>
      </c>
      <c r="P177" s="1007">
        <f t="shared" si="35"/>
        <v>0</v>
      </c>
      <c r="Q177" s="1207"/>
      <c r="R177" s="1202"/>
      <c r="S177" s="445">
        <v>4</v>
      </c>
      <c r="T177" s="991">
        <f t="shared" si="30"/>
        <v>0</v>
      </c>
      <c r="U177" s="1008">
        <v>2461490.4</v>
      </c>
    </row>
    <row r="178" spans="1:21" ht="15.75">
      <c r="A178" s="473">
        <v>171</v>
      </c>
      <c r="B178" s="819" t="s">
        <v>1416</v>
      </c>
      <c r="C178" s="819">
        <v>63100147</v>
      </c>
      <c r="D178" s="470">
        <v>84</v>
      </c>
      <c r="E178" s="819" t="s">
        <v>1314</v>
      </c>
      <c r="F178" s="473"/>
      <c r="G178" s="470"/>
      <c r="H178" s="470">
        <v>42</v>
      </c>
      <c r="I178" s="470">
        <v>42</v>
      </c>
      <c r="J178" s="470"/>
      <c r="K178" s="488">
        <v>818672.46</v>
      </c>
      <c r="L178" s="1007">
        <f t="shared" si="31"/>
        <v>68768486.640000001</v>
      </c>
      <c r="M178" s="1007">
        <f t="shared" si="32"/>
        <v>0</v>
      </c>
      <c r="N178" s="1007">
        <f t="shared" si="33"/>
        <v>34384243.32</v>
      </c>
      <c r="O178" s="1007">
        <f t="shared" si="34"/>
        <v>34384243.32</v>
      </c>
      <c r="P178" s="1007">
        <f t="shared" si="35"/>
        <v>0</v>
      </c>
      <c r="Q178" s="1207"/>
      <c r="R178" s="1202"/>
      <c r="S178" s="445">
        <v>42</v>
      </c>
      <c r="T178" s="991">
        <f t="shared" si="30"/>
        <v>42</v>
      </c>
      <c r="U178" s="1008">
        <v>29537907</v>
      </c>
    </row>
    <row r="179" spans="1:21" ht="15.75">
      <c r="A179" s="473">
        <v>172</v>
      </c>
      <c r="B179" s="819" t="s">
        <v>1329</v>
      </c>
      <c r="C179" s="819">
        <v>63200184</v>
      </c>
      <c r="D179" s="470">
        <v>4</v>
      </c>
      <c r="E179" s="819" t="s">
        <v>1314</v>
      </c>
      <c r="F179" s="473"/>
      <c r="G179" s="470"/>
      <c r="H179" s="470">
        <v>2</v>
      </c>
      <c r="I179" s="470">
        <v>2</v>
      </c>
      <c r="J179" s="470"/>
      <c r="K179" s="488">
        <v>7521553.21</v>
      </c>
      <c r="L179" s="1007">
        <f t="shared" si="31"/>
        <v>30086212.84</v>
      </c>
      <c r="M179" s="1007">
        <f t="shared" si="32"/>
        <v>0</v>
      </c>
      <c r="N179" s="1007">
        <f t="shared" si="33"/>
        <v>15043106.42</v>
      </c>
      <c r="O179" s="1007">
        <f t="shared" si="34"/>
        <v>15043106.42</v>
      </c>
      <c r="P179" s="1007">
        <f t="shared" si="35"/>
        <v>0</v>
      </c>
      <c r="Q179" s="1207"/>
      <c r="R179" s="1202"/>
      <c r="S179" s="445">
        <v>2</v>
      </c>
      <c r="T179" s="991">
        <f t="shared" si="30"/>
        <v>2</v>
      </c>
      <c r="U179" s="1008">
        <v>12922825.5</v>
      </c>
    </row>
    <row r="180" spans="1:21" ht="15.75">
      <c r="A180" s="473">
        <v>173</v>
      </c>
      <c r="B180" s="819" t="s">
        <v>1417</v>
      </c>
      <c r="C180" s="819">
        <v>63500243</v>
      </c>
      <c r="D180" s="470">
        <v>2</v>
      </c>
      <c r="E180" s="819" t="s">
        <v>1314</v>
      </c>
      <c r="F180" s="473"/>
      <c r="G180" s="470"/>
      <c r="H180" s="470">
        <v>2</v>
      </c>
      <c r="I180" s="470"/>
      <c r="J180" s="470"/>
      <c r="K180" s="488">
        <v>24645452.140000001</v>
      </c>
      <c r="L180" s="1007">
        <f t="shared" si="31"/>
        <v>49290904.280000001</v>
      </c>
      <c r="M180" s="1007">
        <f t="shared" si="32"/>
        <v>0</v>
      </c>
      <c r="N180" s="1007">
        <f t="shared" si="33"/>
        <v>49290904.280000001</v>
      </c>
      <c r="O180" s="1007">
        <f t="shared" si="34"/>
        <v>0</v>
      </c>
      <c r="P180" s="1007">
        <f t="shared" si="35"/>
        <v>0</v>
      </c>
      <c r="Q180" s="1207"/>
      <c r="R180" s="1202"/>
      <c r="S180" s="445">
        <v>2</v>
      </c>
      <c r="T180" s="991">
        <f t="shared" si="30"/>
        <v>0</v>
      </c>
      <c r="U180" s="1008">
        <v>42271000</v>
      </c>
    </row>
    <row r="181" spans="1:21" ht="15.75">
      <c r="A181" s="473">
        <v>174</v>
      </c>
      <c r="B181" s="819" t="s">
        <v>1418</v>
      </c>
      <c r="C181" s="819">
        <v>63500242</v>
      </c>
      <c r="D181" s="470">
        <v>2</v>
      </c>
      <c r="E181" s="819" t="s">
        <v>1314</v>
      </c>
      <c r="F181" s="473"/>
      <c r="G181" s="470"/>
      <c r="H181" s="470">
        <v>2</v>
      </c>
      <c r="I181" s="470"/>
      <c r="J181" s="470"/>
      <c r="K181" s="488">
        <v>24645452.140000001</v>
      </c>
      <c r="L181" s="1007">
        <f t="shared" si="31"/>
        <v>49290904.280000001</v>
      </c>
      <c r="M181" s="1007">
        <f t="shared" si="32"/>
        <v>0</v>
      </c>
      <c r="N181" s="1007">
        <f t="shared" si="33"/>
        <v>49290904.280000001</v>
      </c>
      <c r="O181" s="1007">
        <f t="shared" si="34"/>
        <v>0</v>
      </c>
      <c r="P181" s="1007">
        <f t="shared" si="35"/>
        <v>0</v>
      </c>
      <c r="Q181" s="1207"/>
      <c r="R181" s="1202"/>
      <c r="S181" s="445">
        <v>2</v>
      </c>
      <c r="T181" s="991">
        <f t="shared" si="30"/>
        <v>0</v>
      </c>
      <c r="U181" s="1008">
        <v>42271000</v>
      </c>
    </row>
    <row r="182" spans="1:21" ht="15.75">
      <c r="A182" s="473">
        <v>175</v>
      </c>
      <c r="B182" s="819" t="s">
        <v>1419</v>
      </c>
      <c r="C182" s="819">
        <v>63500251</v>
      </c>
      <c r="D182" s="470">
        <v>2</v>
      </c>
      <c r="E182" s="819" t="s">
        <v>1314</v>
      </c>
      <c r="F182" s="473"/>
      <c r="G182" s="470"/>
      <c r="H182" s="470">
        <v>1</v>
      </c>
      <c r="I182" s="470">
        <v>1</v>
      </c>
      <c r="J182" s="470"/>
      <c r="K182" s="488">
        <v>24645452.140000001</v>
      </c>
      <c r="L182" s="1007">
        <f t="shared" si="31"/>
        <v>49290904.280000001</v>
      </c>
      <c r="M182" s="1007">
        <f t="shared" si="32"/>
        <v>0</v>
      </c>
      <c r="N182" s="1007">
        <f t="shared" si="33"/>
        <v>24645452.140000001</v>
      </c>
      <c r="O182" s="1007">
        <f t="shared" si="34"/>
        <v>24645452.140000001</v>
      </c>
      <c r="P182" s="1007">
        <f t="shared" si="35"/>
        <v>0</v>
      </c>
      <c r="Q182" s="1207"/>
      <c r="R182" s="1202"/>
      <c r="S182" s="445">
        <v>1</v>
      </c>
      <c r="T182" s="991">
        <f t="shared" si="30"/>
        <v>1</v>
      </c>
      <c r="U182" s="1008">
        <v>21135500</v>
      </c>
    </row>
    <row r="183" spans="1:21" ht="15.75">
      <c r="A183" s="473">
        <v>176</v>
      </c>
      <c r="B183" s="819" t="s">
        <v>1420</v>
      </c>
      <c r="C183" s="819">
        <v>63500356</v>
      </c>
      <c r="D183" s="470">
        <v>4</v>
      </c>
      <c r="E183" s="819" t="s">
        <v>1314</v>
      </c>
      <c r="F183" s="473"/>
      <c r="G183" s="470"/>
      <c r="H183" s="470">
        <v>2</v>
      </c>
      <c r="I183" s="470">
        <v>2</v>
      </c>
      <c r="J183" s="470"/>
      <c r="K183" s="488">
        <v>1425570.27</v>
      </c>
      <c r="L183" s="1007">
        <f t="shared" si="31"/>
        <v>5702281.0800000001</v>
      </c>
      <c r="M183" s="1007">
        <f t="shared" si="32"/>
        <v>0</v>
      </c>
      <c r="N183" s="1007">
        <f t="shared" si="33"/>
        <v>2851140.54</v>
      </c>
      <c r="O183" s="1007">
        <f t="shared" si="34"/>
        <v>2851140.54</v>
      </c>
      <c r="P183" s="1007">
        <f t="shared" si="35"/>
        <v>0</v>
      </c>
      <c r="Q183" s="1207"/>
      <c r="R183" s="1202"/>
      <c r="S183" s="445">
        <v>2</v>
      </c>
      <c r="T183" s="991">
        <f t="shared" si="30"/>
        <v>2</v>
      </c>
      <c r="U183" s="1008">
        <v>2449281</v>
      </c>
    </row>
    <row r="184" spans="1:21" ht="15.75">
      <c r="A184" s="473">
        <v>177</v>
      </c>
      <c r="B184" s="819" t="s">
        <v>1421</v>
      </c>
      <c r="C184" s="819">
        <v>63500355</v>
      </c>
      <c r="D184" s="470">
        <v>4</v>
      </c>
      <c r="E184" s="819" t="s">
        <v>1314</v>
      </c>
      <c r="F184" s="473"/>
      <c r="G184" s="470"/>
      <c r="H184" s="470">
        <v>2</v>
      </c>
      <c r="I184" s="470">
        <v>2</v>
      </c>
      <c r="J184" s="470"/>
      <c r="K184" s="488">
        <v>1425570.27</v>
      </c>
      <c r="L184" s="1007">
        <f t="shared" si="31"/>
        <v>5702281.0800000001</v>
      </c>
      <c r="M184" s="1007">
        <f t="shared" si="32"/>
        <v>0</v>
      </c>
      <c r="N184" s="1007">
        <f t="shared" si="33"/>
        <v>2851140.54</v>
      </c>
      <c r="O184" s="1007">
        <f t="shared" si="34"/>
        <v>2851140.54</v>
      </c>
      <c r="P184" s="1007">
        <f t="shared" si="35"/>
        <v>0</v>
      </c>
      <c r="Q184" s="1207"/>
      <c r="R184" s="1202"/>
      <c r="S184" s="445">
        <v>2</v>
      </c>
      <c r="T184" s="991">
        <f t="shared" si="30"/>
        <v>2</v>
      </c>
      <c r="U184" s="1008">
        <v>2449281</v>
      </c>
    </row>
    <row r="185" spans="1:21" ht="15.75">
      <c r="A185" s="473">
        <v>178</v>
      </c>
      <c r="B185" s="819" t="s">
        <v>1422</v>
      </c>
      <c r="C185" s="819">
        <v>63500354</v>
      </c>
      <c r="D185" s="470">
        <v>2</v>
      </c>
      <c r="E185" s="819" t="s">
        <v>1314</v>
      </c>
      <c r="F185" s="473"/>
      <c r="G185" s="470"/>
      <c r="H185" s="470">
        <v>2</v>
      </c>
      <c r="I185" s="470"/>
      <c r="J185" s="470"/>
      <c r="K185" s="488">
        <v>1425570.27</v>
      </c>
      <c r="L185" s="1007">
        <f t="shared" si="31"/>
        <v>2851140.54</v>
      </c>
      <c r="M185" s="1007">
        <f t="shared" si="32"/>
        <v>0</v>
      </c>
      <c r="N185" s="1007">
        <f t="shared" si="33"/>
        <v>2851140.54</v>
      </c>
      <c r="O185" s="1007">
        <f t="shared" si="34"/>
        <v>0</v>
      </c>
      <c r="P185" s="1007">
        <f t="shared" si="35"/>
        <v>0</v>
      </c>
      <c r="Q185" s="1207"/>
      <c r="R185" s="1202"/>
      <c r="S185" s="445">
        <v>2</v>
      </c>
      <c r="T185" s="991">
        <f t="shared" si="30"/>
        <v>0</v>
      </c>
      <c r="U185" s="1008">
        <v>2449281</v>
      </c>
    </row>
    <row r="186" spans="1:21" ht="39.75" customHeight="1">
      <c r="A186" s="473">
        <v>179</v>
      </c>
      <c r="B186" s="819" t="s">
        <v>1423</v>
      </c>
      <c r="C186" s="819" t="s">
        <v>1424</v>
      </c>
      <c r="D186" s="470">
        <v>1</v>
      </c>
      <c r="E186" s="819" t="s">
        <v>1314</v>
      </c>
      <c r="F186" s="473"/>
      <c r="G186" s="470"/>
      <c r="H186" s="470">
        <v>1</v>
      </c>
      <c r="I186" s="470"/>
      <c r="J186" s="470"/>
      <c r="K186" s="488">
        <v>147105207.43000001</v>
      </c>
      <c r="L186" s="1007">
        <f>K186*D186</f>
        <v>147105207.43000001</v>
      </c>
      <c r="M186" s="1007">
        <f t="shared" si="32"/>
        <v>0</v>
      </c>
      <c r="N186" s="1007">
        <f t="shared" si="33"/>
        <v>147105207.43000001</v>
      </c>
      <c r="O186" s="1007">
        <f t="shared" si="34"/>
        <v>0</v>
      </c>
      <c r="P186" s="1007">
        <f t="shared" si="35"/>
        <v>0</v>
      </c>
      <c r="Q186" s="1207"/>
      <c r="R186" s="1203"/>
      <c r="S186" s="445">
        <v>1</v>
      </c>
      <c r="T186" s="991">
        <f t="shared" si="30"/>
        <v>0</v>
      </c>
      <c r="U186" s="1008">
        <v>118379219.62</v>
      </c>
    </row>
    <row r="187" spans="1:21" ht="18.75" customHeight="1">
      <c r="A187" s="1170" t="s">
        <v>1425</v>
      </c>
      <c r="B187" s="1170"/>
      <c r="C187" s="1170"/>
      <c r="D187" s="1170"/>
      <c r="E187" s="1170"/>
      <c r="F187" s="1170"/>
      <c r="G187" s="1170"/>
      <c r="H187" s="1170"/>
      <c r="I187" s="1170"/>
      <c r="J187" s="1170"/>
      <c r="K187" s="1170"/>
      <c r="L187" s="1007">
        <f>SUM(L188:L286)</f>
        <v>8535471206.0600004</v>
      </c>
      <c r="M187" s="1007">
        <f>SUM(M188:M286)</f>
        <v>0</v>
      </c>
      <c r="N187" s="1007">
        <f>SUM(N188:N286)</f>
        <v>4489076892.3999977</v>
      </c>
      <c r="O187" s="1007">
        <f>SUM(O188:O286)</f>
        <v>3658445902.3199987</v>
      </c>
      <c r="P187" s="1007">
        <f>SUM(P188:P286)</f>
        <v>387948411.34000003</v>
      </c>
      <c r="R187" s="445"/>
      <c r="S187" s="445"/>
      <c r="T187" s="991">
        <f t="shared" si="30"/>
        <v>0</v>
      </c>
      <c r="U187" s="1008"/>
    </row>
    <row r="188" spans="1:21" ht="15.75">
      <c r="A188" s="473">
        <v>180</v>
      </c>
      <c r="B188" s="819" t="s">
        <v>1426</v>
      </c>
      <c r="C188" s="819">
        <v>64200270</v>
      </c>
      <c r="D188" s="470">
        <v>30</v>
      </c>
      <c r="E188" s="819" t="s">
        <v>1314</v>
      </c>
      <c r="F188" s="473"/>
      <c r="G188" s="470"/>
      <c r="H188" s="470">
        <v>30</v>
      </c>
      <c r="I188" s="470"/>
      <c r="J188" s="470"/>
      <c r="K188" s="694">
        <v>3018854.69</v>
      </c>
      <c r="L188" s="1007">
        <f>K188*D188</f>
        <v>90565640.700000003</v>
      </c>
      <c r="M188" s="1007">
        <f>K188*G188</f>
        <v>0</v>
      </c>
      <c r="N188" s="1007">
        <f>K188*H188</f>
        <v>90565640.700000003</v>
      </c>
      <c r="O188" s="1007">
        <f>K188*I188</f>
        <v>0</v>
      </c>
      <c r="P188" s="1007">
        <f>K188*J188</f>
        <v>0</v>
      </c>
      <c r="Q188" s="1206" t="s">
        <v>4235</v>
      </c>
      <c r="R188" s="1201" t="s">
        <v>4881</v>
      </c>
      <c r="S188" s="445">
        <v>30</v>
      </c>
      <c r="T188" s="991">
        <f t="shared" si="30"/>
        <v>0</v>
      </c>
      <c r="U188" s="1008">
        <v>77937145.200000003</v>
      </c>
    </row>
    <row r="189" spans="1:21" ht="15.75">
      <c r="A189" s="473">
        <v>181</v>
      </c>
      <c r="B189" s="819" t="s">
        <v>1427</v>
      </c>
      <c r="C189" s="819">
        <v>80200219</v>
      </c>
      <c r="D189" s="470">
        <v>250</v>
      </c>
      <c r="E189" s="819" t="s">
        <v>1314</v>
      </c>
      <c r="F189" s="473"/>
      <c r="G189" s="470"/>
      <c r="H189" s="470">
        <v>250</v>
      </c>
      <c r="I189" s="470"/>
      <c r="J189" s="470"/>
      <c r="K189" s="694">
        <v>3979.66</v>
      </c>
      <c r="L189" s="1007">
        <f t="shared" ref="L189:L252" si="36">K189*D189</f>
        <v>994915</v>
      </c>
      <c r="M189" s="1007">
        <f t="shared" ref="M189:M252" si="37">K189*G189</f>
        <v>0</v>
      </c>
      <c r="N189" s="1007">
        <f t="shared" ref="N189:N252" si="38">K189*H189</f>
        <v>994915</v>
      </c>
      <c r="O189" s="1007">
        <f t="shared" ref="O189:O252" si="39">K189*I189</f>
        <v>0</v>
      </c>
      <c r="P189" s="1007">
        <f t="shared" ref="P189:P252" si="40">K189*J189</f>
        <v>0</v>
      </c>
      <c r="Q189" s="1207"/>
      <c r="R189" s="1202"/>
      <c r="S189" s="445">
        <v>250</v>
      </c>
      <c r="T189" s="991">
        <f t="shared" si="30"/>
        <v>0</v>
      </c>
      <c r="U189" s="1008">
        <v>921655</v>
      </c>
    </row>
    <row r="190" spans="1:21" s="404" customFormat="1" ht="15.75">
      <c r="A190" s="473">
        <v>182</v>
      </c>
      <c r="B190" s="819" t="s">
        <v>2833</v>
      </c>
      <c r="C190" s="819">
        <v>65500134</v>
      </c>
      <c r="D190" s="470">
        <v>1</v>
      </c>
      <c r="E190" s="819" t="s">
        <v>1314</v>
      </c>
      <c r="F190" s="473"/>
      <c r="G190" s="470"/>
      <c r="H190" s="470">
        <v>1</v>
      </c>
      <c r="I190" s="470"/>
      <c r="J190" s="470"/>
      <c r="K190" s="694">
        <v>78461975.510000005</v>
      </c>
      <c r="L190" s="1007">
        <f t="shared" si="36"/>
        <v>78461975.510000005</v>
      </c>
      <c r="M190" s="1007">
        <f t="shared" si="37"/>
        <v>0</v>
      </c>
      <c r="N190" s="1007">
        <f t="shared" si="38"/>
        <v>78461975.510000005</v>
      </c>
      <c r="O190" s="1007">
        <f t="shared" si="39"/>
        <v>0</v>
      </c>
      <c r="P190" s="1007">
        <f t="shared" si="40"/>
        <v>0</v>
      </c>
      <c r="Q190" s="1207"/>
      <c r="R190" s="1202"/>
      <c r="S190" s="1002">
        <v>1</v>
      </c>
      <c r="T190" s="991">
        <f t="shared" si="30"/>
        <v>0</v>
      </c>
      <c r="U190" s="1009">
        <v>78461975.510000005</v>
      </c>
    </row>
    <row r="191" spans="1:21" ht="15.75">
      <c r="A191" s="473">
        <v>183</v>
      </c>
      <c r="B191" s="463" t="s">
        <v>1428</v>
      </c>
      <c r="C191" s="463">
        <v>63400265</v>
      </c>
      <c r="D191" s="470">
        <v>1</v>
      </c>
      <c r="E191" s="819" t="s">
        <v>1314</v>
      </c>
      <c r="F191" s="473"/>
      <c r="G191" s="470"/>
      <c r="H191" s="470"/>
      <c r="I191" s="470">
        <v>1</v>
      </c>
      <c r="J191" s="470"/>
      <c r="K191" s="694">
        <v>13277843.939999999</v>
      </c>
      <c r="L191" s="1007">
        <f t="shared" si="36"/>
        <v>13277843.939999999</v>
      </c>
      <c r="M191" s="1007">
        <f t="shared" si="37"/>
        <v>0</v>
      </c>
      <c r="N191" s="1007">
        <f t="shared" si="38"/>
        <v>0</v>
      </c>
      <c r="O191" s="1007">
        <f t="shared" si="39"/>
        <v>13277843.939999999</v>
      </c>
      <c r="P191" s="1007">
        <f t="shared" si="40"/>
        <v>0</v>
      </c>
      <c r="Q191" s="1207"/>
      <c r="R191" s="1202"/>
      <c r="S191" s="445"/>
      <c r="T191" s="991">
        <f t="shared" si="30"/>
        <v>1</v>
      </c>
      <c r="U191" s="1008"/>
    </row>
    <row r="192" spans="1:21" ht="15.75">
      <c r="A192" s="473">
        <v>184</v>
      </c>
      <c r="B192" s="819" t="s">
        <v>1428</v>
      </c>
      <c r="C192" s="819">
        <v>63400317</v>
      </c>
      <c r="D192" s="470">
        <v>4</v>
      </c>
      <c r="E192" s="819"/>
      <c r="F192" s="473"/>
      <c r="G192" s="470"/>
      <c r="H192" s="470">
        <v>2</v>
      </c>
      <c r="I192" s="470">
        <v>2</v>
      </c>
      <c r="J192" s="470"/>
      <c r="K192" s="694">
        <v>9943854.4499999993</v>
      </c>
      <c r="L192" s="1007">
        <f t="shared" si="36"/>
        <v>39775417.799999997</v>
      </c>
      <c r="M192" s="1007">
        <f t="shared" si="37"/>
        <v>0</v>
      </c>
      <c r="N192" s="1007">
        <f t="shared" si="38"/>
        <v>19887708.899999999</v>
      </c>
      <c r="O192" s="1007">
        <f t="shared" si="39"/>
        <v>19887708.899999999</v>
      </c>
      <c r="P192" s="1007">
        <f t="shared" si="40"/>
        <v>0</v>
      </c>
      <c r="Q192" s="1207"/>
      <c r="R192" s="1202"/>
      <c r="S192" s="445">
        <v>2</v>
      </c>
      <c r="T192" s="991">
        <f t="shared" si="30"/>
        <v>2</v>
      </c>
      <c r="U192" s="1008">
        <v>19887708.899999999</v>
      </c>
    </row>
    <row r="193" spans="1:21" ht="15.75">
      <c r="A193" s="473">
        <v>185</v>
      </c>
      <c r="B193" s="819" t="s">
        <v>2834</v>
      </c>
      <c r="C193" s="819">
        <v>65500157</v>
      </c>
      <c r="D193" s="470">
        <v>20</v>
      </c>
      <c r="E193" s="819"/>
      <c r="F193" s="473"/>
      <c r="G193" s="470"/>
      <c r="H193" s="470">
        <v>10</v>
      </c>
      <c r="I193" s="470">
        <v>10</v>
      </c>
      <c r="J193" s="470"/>
      <c r="K193" s="694">
        <v>2655812.06</v>
      </c>
      <c r="L193" s="1007">
        <f t="shared" si="36"/>
        <v>53116241.200000003</v>
      </c>
      <c r="M193" s="1007">
        <f t="shared" si="37"/>
        <v>0</v>
      </c>
      <c r="N193" s="1007">
        <f t="shared" si="38"/>
        <v>26558120.600000001</v>
      </c>
      <c r="O193" s="1007">
        <f t="shared" si="39"/>
        <v>26558120.600000001</v>
      </c>
      <c r="P193" s="1007">
        <f t="shared" si="40"/>
        <v>0</v>
      </c>
      <c r="Q193" s="1207"/>
      <c r="R193" s="1202"/>
      <c r="S193" s="445">
        <v>10</v>
      </c>
      <c r="T193" s="991">
        <f t="shared" si="30"/>
        <v>10</v>
      </c>
      <c r="U193" s="1008">
        <v>26558120.5</v>
      </c>
    </row>
    <row r="194" spans="1:21" ht="15.75">
      <c r="A194" s="473">
        <v>186</v>
      </c>
      <c r="B194" s="819" t="s">
        <v>1426</v>
      </c>
      <c r="C194" s="819">
        <v>64100138</v>
      </c>
      <c r="D194" s="470">
        <v>20</v>
      </c>
      <c r="E194" s="819"/>
      <c r="F194" s="473"/>
      <c r="G194" s="470"/>
      <c r="H194" s="470">
        <v>10</v>
      </c>
      <c r="I194" s="470">
        <v>10</v>
      </c>
      <c r="J194" s="470"/>
      <c r="K194" s="694">
        <v>5105747.21</v>
      </c>
      <c r="L194" s="1007">
        <f t="shared" si="36"/>
        <v>102114944.2</v>
      </c>
      <c r="M194" s="1007">
        <f t="shared" si="37"/>
        <v>0</v>
      </c>
      <c r="N194" s="1007">
        <f t="shared" si="38"/>
        <v>51057472.100000001</v>
      </c>
      <c r="O194" s="1007">
        <f t="shared" si="39"/>
        <v>51057472.100000001</v>
      </c>
      <c r="P194" s="1007">
        <f t="shared" si="40"/>
        <v>0</v>
      </c>
      <c r="Q194" s="1207"/>
      <c r="R194" s="1202"/>
      <c r="S194" s="445">
        <v>10</v>
      </c>
      <c r="T194" s="991">
        <f t="shared" si="30"/>
        <v>10</v>
      </c>
      <c r="U194" s="1008">
        <v>51057472.100000001</v>
      </c>
    </row>
    <row r="195" spans="1:21" ht="15.75">
      <c r="A195" s="473">
        <v>187</v>
      </c>
      <c r="B195" s="819" t="s">
        <v>1429</v>
      </c>
      <c r="C195" s="819">
        <v>63400356</v>
      </c>
      <c r="D195" s="470">
        <v>2</v>
      </c>
      <c r="E195" s="819" t="s">
        <v>1314</v>
      </c>
      <c r="F195" s="473"/>
      <c r="G195" s="470"/>
      <c r="H195" s="470">
        <v>2</v>
      </c>
      <c r="I195" s="470"/>
      <c r="J195" s="470"/>
      <c r="K195" s="694">
        <v>1202425.17</v>
      </c>
      <c r="L195" s="1007">
        <f t="shared" si="36"/>
        <v>2404850.34</v>
      </c>
      <c r="M195" s="1007">
        <f t="shared" si="37"/>
        <v>0</v>
      </c>
      <c r="N195" s="1007">
        <f t="shared" si="38"/>
        <v>2404850.34</v>
      </c>
      <c r="O195" s="1007">
        <f t="shared" si="39"/>
        <v>0</v>
      </c>
      <c r="P195" s="1007">
        <f t="shared" si="40"/>
        <v>0</v>
      </c>
      <c r="Q195" s="1207"/>
      <c r="R195" s="1202"/>
      <c r="S195" s="445">
        <v>2</v>
      </c>
      <c r="T195" s="991">
        <f t="shared" si="30"/>
        <v>0</v>
      </c>
      <c r="U195" s="1008">
        <v>2069517.4</v>
      </c>
    </row>
    <row r="196" spans="1:21" ht="15.75">
      <c r="A196" s="473">
        <v>188</v>
      </c>
      <c r="B196" s="819" t="s">
        <v>1430</v>
      </c>
      <c r="C196" s="819">
        <v>64100186</v>
      </c>
      <c r="D196" s="470">
        <v>6</v>
      </c>
      <c r="E196" s="819" t="s">
        <v>1314</v>
      </c>
      <c r="F196" s="473"/>
      <c r="G196" s="470"/>
      <c r="H196" s="470">
        <v>2</v>
      </c>
      <c r="I196" s="470">
        <v>2</v>
      </c>
      <c r="J196" s="470">
        <v>2</v>
      </c>
      <c r="K196" s="694">
        <v>6984299.4100000001</v>
      </c>
      <c r="L196" s="1007">
        <f t="shared" si="36"/>
        <v>41905796.460000001</v>
      </c>
      <c r="M196" s="1007">
        <f t="shared" si="37"/>
        <v>0</v>
      </c>
      <c r="N196" s="1007">
        <f t="shared" si="38"/>
        <v>13968598.82</v>
      </c>
      <c r="O196" s="1007">
        <f t="shared" si="39"/>
        <v>13968598.82</v>
      </c>
      <c r="P196" s="1007">
        <f t="shared" si="40"/>
        <v>13968598.82</v>
      </c>
      <c r="Q196" s="1207"/>
      <c r="R196" s="1202"/>
      <c r="S196" s="445">
        <v>2</v>
      </c>
      <c r="T196" s="991">
        <f t="shared" si="30"/>
        <v>4</v>
      </c>
      <c r="U196" s="1008">
        <v>12020813.92</v>
      </c>
    </row>
    <row r="197" spans="1:21" ht="15.75">
      <c r="A197" s="473">
        <v>189</v>
      </c>
      <c r="B197" s="819" t="s">
        <v>1330</v>
      </c>
      <c r="C197" s="819">
        <v>63200141</v>
      </c>
      <c r="D197" s="470">
        <v>10</v>
      </c>
      <c r="E197" s="819" t="s">
        <v>1314</v>
      </c>
      <c r="F197" s="473"/>
      <c r="G197" s="470"/>
      <c r="H197" s="470">
        <v>6</v>
      </c>
      <c r="I197" s="470">
        <v>4</v>
      </c>
      <c r="J197" s="470"/>
      <c r="K197" s="694">
        <v>307002.17</v>
      </c>
      <c r="L197" s="1007">
        <f t="shared" si="36"/>
        <v>3070021.6999999997</v>
      </c>
      <c r="M197" s="1007">
        <f t="shared" si="37"/>
        <v>0</v>
      </c>
      <c r="N197" s="1007">
        <f t="shared" si="38"/>
        <v>1842013.02</v>
      </c>
      <c r="O197" s="1007">
        <f t="shared" si="39"/>
        <v>1228008.68</v>
      </c>
      <c r="P197" s="1007">
        <f t="shared" si="40"/>
        <v>0</v>
      </c>
      <c r="Q197" s="1207"/>
      <c r="R197" s="1202"/>
      <c r="S197" s="445">
        <v>6</v>
      </c>
      <c r="T197" s="991">
        <f t="shared" si="30"/>
        <v>4</v>
      </c>
      <c r="U197" s="1008">
        <v>1585162.26</v>
      </c>
    </row>
    <row r="198" spans="1:21" ht="15.75">
      <c r="A198" s="473">
        <v>190</v>
      </c>
      <c r="B198" s="819" t="s">
        <v>1431</v>
      </c>
      <c r="C198" s="819">
        <v>63200143</v>
      </c>
      <c r="D198" s="470">
        <v>80</v>
      </c>
      <c r="E198" s="819" t="s">
        <v>1314</v>
      </c>
      <c r="F198" s="819" t="s">
        <v>2004</v>
      </c>
      <c r="G198" s="470"/>
      <c r="H198" s="470">
        <v>40</v>
      </c>
      <c r="I198" s="470">
        <v>40</v>
      </c>
      <c r="J198" s="470"/>
      <c r="K198" s="694">
        <v>199267.15</v>
      </c>
      <c r="L198" s="1007">
        <f t="shared" si="36"/>
        <v>15941372</v>
      </c>
      <c r="M198" s="1007">
        <f t="shared" si="37"/>
        <v>0</v>
      </c>
      <c r="N198" s="1007">
        <f t="shared" si="38"/>
        <v>7970686</v>
      </c>
      <c r="O198" s="1007">
        <f t="shared" si="39"/>
        <v>7970686</v>
      </c>
      <c r="P198" s="1007">
        <f t="shared" si="40"/>
        <v>0</v>
      </c>
      <c r="Q198" s="1207"/>
      <c r="R198" s="1202"/>
      <c r="S198" s="445">
        <v>40</v>
      </c>
      <c r="T198" s="991">
        <f t="shared" si="30"/>
        <v>40</v>
      </c>
      <c r="U198" s="1008">
        <v>6859251.2000000002</v>
      </c>
    </row>
    <row r="199" spans="1:21" ht="15.75">
      <c r="A199" s="473">
        <v>191</v>
      </c>
      <c r="B199" s="819" t="s">
        <v>1413</v>
      </c>
      <c r="C199" s="819">
        <v>63400318</v>
      </c>
      <c r="D199" s="470">
        <v>152</v>
      </c>
      <c r="E199" s="819" t="s">
        <v>1314</v>
      </c>
      <c r="F199" s="473"/>
      <c r="G199" s="470"/>
      <c r="H199" s="470">
        <v>76</v>
      </c>
      <c r="I199" s="470">
        <v>76</v>
      </c>
      <c r="J199" s="470"/>
      <c r="K199" s="694">
        <v>1381509.77</v>
      </c>
      <c r="L199" s="1007">
        <f t="shared" si="36"/>
        <v>209989485.03999999</v>
      </c>
      <c r="M199" s="1007">
        <f t="shared" si="37"/>
        <v>0</v>
      </c>
      <c r="N199" s="1007">
        <f t="shared" si="38"/>
        <v>104994742.52</v>
      </c>
      <c r="O199" s="1007">
        <f t="shared" si="39"/>
        <v>104994742.52</v>
      </c>
      <c r="P199" s="1007">
        <f t="shared" si="40"/>
        <v>0</v>
      </c>
      <c r="Q199" s="1207"/>
      <c r="R199" s="1202"/>
      <c r="S199" s="445">
        <v>76</v>
      </c>
      <c r="T199" s="991">
        <f t="shared" si="30"/>
        <v>76</v>
      </c>
      <c r="U199" s="1008">
        <v>90354249.200000003</v>
      </c>
    </row>
    <row r="200" spans="1:21" ht="15.75">
      <c r="A200" s="473">
        <v>192</v>
      </c>
      <c r="B200" s="819" t="s">
        <v>1413</v>
      </c>
      <c r="C200" s="819">
        <v>63400319</v>
      </c>
      <c r="D200" s="470">
        <v>76</v>
      </c>
      <c r="E200" s="819" t="s">
        <v>1314</v>
      </c>
      <c r="F200" s="473"/>
      <c r="G200" s="470"/>
      <c r="H200" s="470">
        <v>38</v>
      </c>
      <c r="I200" s="470">
        <v>38</v>
      </c>
      <c r="J200" s="470"/>
      <c r="K200" s="694">
        <v>2737436.03</v>
      </c>
      <c r="L200" s="1007">
        <f t="shared" si="36"/>
        <v>208045138.27999997</v>
      </c>
      <c r="M200" s="1007">
        <f t="shared" si="37"/>
        <v>0</v>
      </c>
      <c r="N200" s="1007">
        <f t="shared" si="38"/>
        <v>104022569.13999999</v>
      </c>
      <c r="O200" s="1007">
        <f t="shared" si="39"/>
        <v>104022569.13999999</v>
      </c>
      <c r="P200" s="1007">
        <f t="shared" si="40"/>
        <v>0</v>
      </c>
      <c r="Q200" s="1207"/>
      <c r="R200" s="1202"/>
      <c r="S200" s="445">
        <v>38</v>
      </c>
      <c r="T200" s="991">
        <f t="shared" si="30"/>
        <v>38</v>
      </c>
      <c r="U200" s="1008">
        <v>89517636.260000005</v>
      </c>
    </row>
    <row r="201" spans="1:21" ht="15.75">
      <c r="A201" s="473">
        <v>193</v>
      </c>
      <c r="B201" s="819" t="s">
        <v>1427</v>
      </c>
      <c r="C201" s="819">
        <v>80200143</v>
      </c>
      <c r="D201" s="470">
        <v>500</v>
      </c>
      <c r="E201" s="819" t="s">
        <v>1314</v>
      </c>
      <c r="F201" s="473"/>
      <c r="G201" s="470"/>
      <c r="H201" s="470">
        <v>250</v>
      </c>
      <c r="I201" s="470">
        <v>250</v>
      </c>
      <c r="J201" s="470"/>
      <c r="K201" s="694">
        <v>14497.32</v>
      </c>
      <c r="L201" s="1007">
        <f t="shared" si="36"/>
        <v>7248660</v>
      </c>
      <c r="M201" s="1007">
        <f t="shared" si="37"/>
        <v>0</v>
      </c>
      <c r="N201" s="1007">
        <f t="shared" si="38"/>
        <v>3624330</v>
      </c>
      <c r="O201" s="1007">
        <f t="shared" si="39"/>
        <v>3624330</v>
      </c>
      <c r="P201" s="1007">
        <f t="shared" si="40"/>
        <v>0</v>
      </c>
      <c r="Q201" s="1207"/>
      <c r="R201" s="1202"/>
      <c r="S201" s="445">
        <v>250</v>
      </c>
      <c r="T201" s="991">
        <f t="shared" si="30"/>
        <v>250</v>
      </c>
      <c r="U201" s="1008">
        <v>3118952.5</v>
      </c>
    </row>
    <row r="202" spans="1:21" ht="15.75">
      <c r="A202" s="473">
        <v>194</v>
      </c>
      <c r="B202" s="819" t="s">
        <v>1432</v>
      </c>
      <c r="C202" s="819">
        <v>63300170</v>
      </c>
      <c r="D202" s="470">
        <v>5</v>
      </c>
      <c r="E202" s="819" t="s">
        <v>1314</v>
      </c>
      <c r="F202" s="473"/>
      <c r="G202" s="470"/>
      <c r="H202" s="470">
        <v>2</v>
      </c>
      <c r="I202" s="470">
        <v>2</v>
      </c>
      <c r="J202" s="470">
        <v>1</v>
      </c>
      <c r="K202" s="694">
        <v>178419428.97999999</v>
      </c>
      <c r="L202" s="1007">
        <f t="shared" si="36"/>
        <v>892097144.89999998</v>
      </c>
      <c r="M202" s="1007">
        <f t="shared" si="37"/>
        <v>0</v>
      </c>
      <c r="N202" s="1007">
        <f t="shared" si="38"/>
        <v>356838857.95999998</v>
      </c>
      <c r="O202" s="1007">
        <f t="shared" si="39"/>
        <v>356838857.95999998</v>
      </c>
      <c r="P202" s="1007">
        <f t="shared" si="40"/>
        <v>178419428.97999999</v>
      </c>
      <c r="Q202" s="1207"/>
      <c r="R202" s="1202"/>
      <c r="S202" s="445">
        <v>2</v>
      </c>
      <c r="T202" s="991">
        <f t="shared" si="30"/>
        <v>3</v>
      </c>
      <c r="U202" s="1008">
        <v>307081158.63999999</v>
      </c>
    </row>
    <row r="203" spans="1:21" ht="15.75">
      <c r="A203" s="473">
        <v>195</v>
      </c>
      <c r="B203" s="819" t="s">
        <v>1433</v>
      </c>
      <c r="C203" s="819">
        <v>63400254</v>
      </c>
      <c r="D203" s="470">
        <v>10</v>
      </c>
      <c r="E203" s="819" t="s">
        <v>1314</v>
      </c>
      <c r="F203" s="473"/>
      <c r="G203" s="470"/>
      <c r="H203" s="470">
        <v>4</v>
      </c>
      <c r="I203" s="470">
        <v>4</v>
      </c>
      <c r="J203" s="470">
        <v>2</v>
      </c>
      <c r="K203" s="694">
        <v>6702880.7599999998</v>
      </c>
      <c r="L203" s="1007">
        <f t="shared" si="36"/>
        <v>67028807.599999994</v>
      </c>
      <c r="M203" s="1007">
        <f t="shared" si="37"/>
        <v>0</v>
      </c>
      <c r="N203" s="1007">
        <f t="shared" si="38"/>
        <v>26811523.039999999</v>
      </c>
      <c r="O203" s="1007">
        <f t="shared" si="39"/>
        <v>26811523.039999999</v>
      </c>
      <c r="P203" s="1007">
        <f t="shared" si="40"/>
        <v>13405761.52</v>
      </c>
      <c r="Q203" s="1207"/>
      <c r="R203" s="1202"/>
      <c r="S203" s="445">
        <v>4</v>
      </c>
      <c r="T203" s="991">
        <f t="shared" si="30"/>
        <v>6</v>
      </c>
      <c r="U203" s="1008">
        <v>23072917.559999999</v>
      </c>
    </row>
    <row r="204" spans="1:21" ht="15.75">
      <c r="A204" s="473">
        <v>196</v>
      </c>
      <c r="B204" s="819" t="s">
        <v>1434</v>
      </c>
      <c r="C204" s="819">
        <v>64200137</v>
      </c>
      <c r="D204" s="470">
        <v>5</v>
      </c>
      <c r="E204" s="819" t="s">
        <v>1314</v>
      </c>
      <c r="F204" s="473"/>
      <c r="G204" s="470"/>
      <c r="H204" s="470">
        <v>5</v>
      </c>
      <c r="I204" s="470"/>
      <c r="J204" s="470"/>
      <c r="K204" s="694">
        <v>2660685.4900000002</v>
      </c>
      <c r="L204" s="1007">
        <f t="shared" si="36"/>
        <v>13303427.450000001</v>
      </c>
      <c r="M204" s="1007">
        <f t="shared" si="37"/>
        <v>0</v>
      </c>
      <c r="N204" s="1007">
        <f t="shared" si="38"/>
        <v>13303427.450000001</v>
      </c>
      <c r="O204" s="1007">
        <f t="shared" si="39"/>
        <v>0</v>
      </c>
      <c r="P204" s="1007">
        <f t="shared" si="40"/>
        <v>0</v>
      </c>
      <c r="Q204" s="1207"/>
      <c r="R204" s="1202"/>
      <c r="S204" s="445">
        <v>5</v>
      </c>
      <c r="T204" s="991">
        <f t="shared" si="30"/>
        <v>0</v>
      </c>
      <c r="U204" s="1008">
        <v>12323867.199999999</v>
      </c>
    </row>
    <row r="205" spans="1:21" ht="15.75">
      <c r="A205" s="473">
        <v>197</v>
      </c>
      <c r="B205" s="819" t="s">
        <v>875</v>
      </c>
      <c r="C205" s="819">
        <v>80100129</v>
      </c>
      <c r="D205" s="470">
        <v>2</v>
      </c>
      <c r="E205" s="819" t="s">
        <v>1314</v>
      </c>
      <c r="F205" s="473"/>
      <c r="G205" s="470"/>
      <c r="H205" s="470">
        <v>1</v>
      </c>
      <c r="I205" s="470">
        <v>1</v>
      </c>
      <c r="J205" s="470"/>
      <c r="K205" s="694">
        <v>972173.54</v>
      </c>
      <c r="L205" s="1007">
        <f t="shared" si="36"/>
        <v>1944347.08</v>
      </c>
      <c r="M205" s="1007">
        <f t="shared" si="37"/>
        <v>0</v>
      </c>
      <c r="N205" s="1007">
        <f t="shared" si="38"/>
        <v>972173.54</v>
      </c>
      <c r="O205" s="1007">
        <f t="shared" si="39"/>
        <v>972173.54</v>
      </c>
      <c r="P205" s="1007">
        <f t="shared" si="40"/>
        <v>0</v>
      </c>
      <c r="Q205" s="1207"/>
      <c r="R205" s="1202"/>
      <c r="S205" s="445">
        <v>1</v>
      </c>
      <c r="T205" s="991">
        <f t="shared" si="30"/>
        <v>1</v>
      </c>
      <c r="U205" s="1008">
        <v>900590.29</v>
      </c>
    </row>
    <row r="206" spans="1:21" ht="15.75">
      <c r="A206" s="473">
        <v>198</v>
      </c>
      <c r="B206" s="819" t="s">
        <v>1435</v>
      </c>
      <c r="C206" s="819">
        <v>64200109</v>
      </c>
      <c r="D206" s="470">
        <v>3</v>
      </c>
      <c r="E206" s="819" t="s">
        <v>1314</v>
      </c>
      <c r="F206" s="473"/>
      <c r="G206" s="470"/>
      <c r="H206" s="470">
        <v>1</v>
      </c>
      <c r="I206" s="470">
        <v>1</v>
      </c>
      <c r="J206" s="470">
        <v>1</v>
      </c>
      <c r="K206" s="694">
        <v>26146351.649999999</v>
      </c>
      <c r="L206" s="1007">
        <f t="shared" si="36"/>
        <v>78439054.949999988</v>
      </c>
      <c r="M206" s="1007">
        <f t="shared" si="37"/>
        <v>0</v>
      </c>
      <c r="N206" s="1007">
        <f t="shared" si="38"/>
        <v>26146351.649999999</v>
      </c>
      <c r="O206" s="1007">
        <f t="shared" si="39"/>
        <v>26146351.649999999</v>
      </c>
      <c r="P206" s="1007">
        <f t="shared" si="40"/>
        <v>26146351.649999999</v>
      </c>
      <c r="Q206" s="1207"/>
      <c r="R206" s="1202"/>
      <c r="S206" s="445">
        <v>1</v>
      </c>
      <c r="T206" s="991">
        <f t="shared" si="30"/>
        <v>2</v>
      </c>
      <c r="U206" s="1008">
        <v>22500497.850000001</v>
      </c>
    </row>
    <row r="207" spans="1:21" ht="15.75">
      <c r="A207" s="473">
        <v>199</v>
      </c>
      <c r="B207" s="819" t="s">
        <v>1436</v>
      </c>
      <c r="C207" s="819">
        <v>64200108</v>
      </c>
      <c r="D207" s="470">
        <v>1</v>
      </c>
      <c r="E207" s="819" t="s">
        <v>1314</v>
      </c>
      <c r="F207" s="473"/>
      <c r="G207" s="470"/>
      <c r="H207" s="470"/>
      <c r="I207" s="470">
        <v>1</v>
      </c>
      <c r="J207" s="470"/>
      <c r="K207" s="694">
        <v>59225835.689999998</v>
      </c>
      <c r="L207" s="1007">
        <f t="shared" si="36"/>
        <v>59225835.689999998</v>
      </c>
      <c r="M207" s="1007">
        <f t="shared" si="37"/>
        <v>0</v>
      </c>
      <c r="N207" s="1007">
        <f t="shared" si="38"/>
        <v>0</v>
      </c>
      <c r="O207" s="1007">
        <f t="shared" si="39"/>
        <v>59225835.689999998</v>
      </c>
      <c r="P207" s="1007">
        <f t="shared" si="40"/>
        <v>0</v>
      </c>
      <c r="Q207" s="1207"/>
      <c r="R207" s="1202"/>
      <c r="S207" s="445"/>
      <c r="T207" s="991">
        <f t="shared" si="30"/>
        <v>1</v>
      </c>
      <c r="U207" s="1008"/>
    </row>
    <row r="208" spans="1:21" ht="15.75">
      <c r="A208" s="473">
        <v>200</v>
      </c>
      <c r="B208" s="819" t="s">
        <v>1437</v>
      </c>
      <c r="C208" s="819">
        <v>64200351</v>
      </c>
      <c r="D208" s="470">
        <v>1</v>
      </c>
      <c r="E208" s="819" t="s">
        <v>1314</v>
      </c>
      <c r="F208" s="473"/>
      <c r="G208" s="470"/>
      <c r="H208" s="470"/>
      <c r="I208" s="470">
        <v>1</v>
      </c>
      <c r="J208" s="470"/>
      <c r="K208" s="694">
        <v>124719635.39</v>
      </c>
      <c r="L208" s="1007">
        <f t="shared" si="36"/>
        <v>124719635.39</v>
      </c>
      <c r="M208" s="1007">
        <f t="shared" si="37"/>
        <v>0</v>
      </c>
      <c r="N208" s="1007">
        <f t="shared" si="38"/>
        <v>0</v>
      </c>
      <c r="O208" s="1007">
        <f t="shared" si="39"/>
        <v>124719635.39</v>
      </c>
      <c r="P208" s="1007">
        <f t="shared" si="40"/>
        <v>0</v>
      </c>
      <c r="Q208" s="1207"/>
      <c r="R208" s="1202"/>
      <c r="S208" s="445"/>
      <c r="T208" s="991">
        <f t="shared" si="30"/>
        <v>1</v>
      </c>
      <c r="U208" s="1008"/>
    </row>
    <row r="209" spans="1:21" ht="15.75">
      <c r="A209" s="473">
        <v>201</v>
      </c>
      <c r="B209" s="819" t="s">
        <v>1438</v>
      </c>
      <c r="C209" s="819">
        <v>64200103</v>
      </c>
      <c r="D209" s="470">
        <v>1</v>
      </c>
      <c r="E209" s="819" t="s">
        <v>1314</v>
      </c>
      <c r="F209" s="473"/>
      <c r="G209" s="470"/>
      <c r="H209" s="470"/>
      <c r="I209" s="470">
        <v>1</v>
      </c>
      <c r="J209" s="470"/>
      <c r="K209" s="694">
        <v>124719635.39</v>
      </c>
      <c r="L209" s="1007">
        <f t="shared" si="36"/>
        <v>124719635.39</v>
      </c>
      <c r="M209" s="1007">
        <f t="shared" si="37"/>
        <v>0</v>
      </c>
      <c r="N209" s="1007">
        <f t="shared" si="38"/>
        <v>0</v>
      </c>
      <c r="O209" s="1007">
        <f t="shared" si="39"/>
        <v>124719635.39</v>
      </c>
      <c r="P209" s="1007">
        <f t="shared" si="40"/>
        <v>0</v>
      </c>
      <c r="Q209" s="1207"/>
      <c r="R209" s="1202"/>
      <c r="S209" s="445"/>
      <c r="T209" s="991">
        <f t="shared" si="30"/>
        <v>1</v>
      </c>
      <c r="U209" s="1008"/>
    </row>
    <row r="210" spans="1:21" ht="15.75">
      <c r="A210" s="473">
        <v>202</v>
      </c>
      <c r="B210" s="819" t="s">
        <v>965</v>
      </c>
      <c r="C210" s="819">
        <v>64200102</v>
      </c>
      <c r="D210" s="470">
        <v>1</v>
      </c>
      <c r="E210" s="819" t="s">
        <v>1314</v>
      </c>
      <c r="F210" s="473"/>
      <c r="G210" s="470"/>
      <c r="H210" s="470"/>
      <c r="I210" s="470">
        <v>1</v>
      </c>
      <c r="J210" s="470"/>
      <c r="K210" s="694">
        <v>124719635.39</v>
      </c>
      <c r="L210" s="1007">
        <f t="shared" si="36"/>
        <v>124719635.39</v>
      </c>
      <c r="M210" s="1007">
        <f t="shared" si="37"/>
        <v>0</v>
      </c>
      <c r="N210" s="1007">
        <f t="shared" si="38"/>
        <v>0</v>
      </c>
      <c r="O210" s="1007">
        <f t="shared" si="39"/>
        <v>124719635.39</v>
      </c>
      <c r="P210" s="1007">
        <f t="shared" si="40"/>
        <v>0</v>
      </c>
      <c r="Q210" s="1207"/>
      <c r="R210" s="1202"/>
      <c r="S210" s="445"/>
      <c r="T210" s="991">
        <f t="shared" si="30"/>
        <v>1</v>
      </c>
      <c r="U210" s="1008"/>
    </row>
    <row r="211" spans="1:21" ht="15.75">
      <c r="A211" s="473">
        <v>203</v>
      </c>
      <c r="B211" s="819" t="s">
        <v>1439</v>
      </c>
      <c r="C211" s="819">
        <v>88169106</v>
      </c>
      <c r="D211" s="470">
        <v>76</v>
      </c>
      <c r="E211" s="819" t="s">
        <v>1314</v>
      </c>
      <c r="F211" s="473"/>
      <c r="G211" s="470"/>
      <c r="H211" s="470">
        <v>38</v>
      </c>
      <c r="I211" s="470">
        <v>38</v>
      </c>
      <c r="J211" s="470"/>
      <c r="K211" s="694">
        <v>170841.02</v>
      </c>
      <c r="L211" s="1007">
        <f t="shared" si="36"/>
        <v>12983917.52</v>
      </c>
      <c r="M211" s="1007">
        <f t="shared" si="37"/>
        <v>0</v>
      </c>
      <c r="N211" s="1007">
        <f t="shared" si="38"/>
        <v>6491958.7599999998</v>
      </c>
      <c r="O211" s="1007">
        <f t="shared" si="39"/>
        <v>6491958.7599999998</v>
      </c>
      <c r="P211" s="1007">
        <f t="shared" si="40"/>
        <v>0</v>
      </c>
      <c r="Q211" s="1207"/>
      <c r="R211" s="1202"/>
      <c r="S211" s="445">
        <v>38</v>
      </c>
      <c r="T211" s="991">
        <f t="shared" si="30"/>
        <v>38</v>
      </c>
      <c r="U211" s="1008">
        <v>5586718.2000000002</v>
      </c>
    </row>
    <row r="212" spans="1:21" ht="15.75">
      <c r="A212" s="473">
        <v>204</v>
      </c>
      <c r="B212" s="819" t="s">
        <v>1426</v>
      </c>
      <c r="C212" s="819">
        <v>64200115</v>
      </c>
      <c r="D212" s="470">
        <v>20</v>
      </c>
      <c r="E212" s="819" t="s">
        <v>1314</v>
      </c>
      <c r="F212" s="473"/>
      <c r="G212" s="470"/>
      <c r="H212" s="470">
        <v>10</v>
      </c>
      <c r="I212" s="470">
        <v>10</v>
      </c>
      <c r="J212" s="470"/>
      <c r="K212" s="694">
        <v>7521553.21</v>
      </c>
      <c r="L212" s="1007">
        <f t="shared" si="36"/>
        <v>150431064.19999999</v>
      </c>
      <c r="M212" s="1007">
        <f t="shared" si="37"/>
        <v>0</v>
      </c>
      <c r="N212" s="1007">
        <f t="shared" si="38"/>
        <v>75215532.099999994</v>
      </c>
      <c r="O212" s="1007">
        <f t="shared" si="39"/>
        <v>75215532.099999994</v>
      </c>
      <c r="P212" s="1007">
        <f t="shared" si="40"/>
        <v>0</v>
      </c>
      <c r="Q212" s="1207"/>
      <c r="R212" s="1202"/>
      <c r="S212" s="445">
        <v>10</v>
      </c>
      <c r="T212" s="991">
        <f t="shared" si="30"/>
        <v>10</v>
      </c>
      <c r="U212" s="1008">
        <v>69677249.200000003</v>
      </c>
    </row>
    <row r="213" spans="1:21" ht="15.75">
      <c r="A213" s="473">
        <v>205</v>
      </c>
      <c r="B213" s="819" t="s">
        <v>1440</v>
      </c>
      <c r="C213" s="819">
        <v>63500324</v>
      </c>
      <c r="D213" s="470">
        <v>76</v>
      </c>
      <c r="E213" s="819" t="s">
        <v>1314</v>
      </c>
      <c r="F213" s="473"/>
      <c r="G213" s="470"/>
      <c r="H213" s="470">
        <v>38</v>
      </c>
      <c r="I213" s="470">
        <v>38</v>
      </c>
      <c r="J213" s="470"/>
      <c r="K213" s="694">
        <v>4323613.92</v>
      </c>
      <c r="L213" s="1007">
        <f t="shared" si="36"/>
        <v>328594657.92000002</v>
      </c>
      <c r="M213" s="1007">
        <f t="shared" si="37"/>
        <v>0</v>
      </c>
      <c r="N213" s="1007">
        <f t="shared" si="38"/>
        <v>164297328.96000001</v>
      </c>
      <c r="O213" s="1007">
        <f t="shared" si="39"/>
        <v>164297328.96000001</v>
      </c>
      <c r="P213" s="1007">
        <f t="shared" si="40"/>
        <v>0</v>
      </c>
      <c r="Q213" s="1207"/>
      <c r="R213" s="1202"/>
      <c r="S213" s="445">
        <v>38</v>
      </c>
      <c r="T213" s="991">
        <f t="shared" si="30"/>
        <v>38</v>
      </c>
      <c r="U213" s="1008">
        <v>141387668.18000001</v>
      </c>
    </row>
    <row r="214" spans="1:21" ht="15.75">
      <c r="A214" s="473">
        <v>206</v>
      </c>
      <c r="B214" s="819" t="s">
        <v>1441</v>
      </c>
      <c r="C214" s="819">
        <v>63500225</v>
      </c>
      <c r="D214" s="470">
        <v>100</v>
      </c>
      <c r="E214" s="819" t="s">
        <v>1314</v>
      </c>
      <c r="F214" s="473"/>
      <c r="G214" s="470"/>
      <c r="H214" s="470">
        <v>60</v>
      </c>
      <c r="I214" s="470">
        <v>40</v>
      </c>
      <c r="J214" s="470"/>
      <c r="K214" s="694">
        <v>9951987.0800000001</v>
      </c>
      <c r="L214" s="1007">
        <f t="shared" si="36"/>
        <v>995198708</v>
      </c>
      <c r="M214" s="1007">
        <f t="shared" si="37"/>
        <v>0</v>
      </c>
      <c r="N214" s="1007">
        <f t="shared" si="38"/>
        <v>597119224.79999995</v>
      </c>
      <c r="O214" s="1007">
        <f t="shared" si="39"/>
        <v>398079483.19999999</v>
      </c>
      <c r="P214" s="1007">
        <f t="shared" si="40"/>
        <v>0</v>
      </c>
      <c r="Q214" s="1207"/>
      <c r="R214" s="1202"/>
      <c r="S214" s="445">
        <v>60</v>
      </c>
      <c r="T214" s="991">
        <f t="shared" si="30"/>
        <v>40</v>
      </c>
      <c r="U214" s="1008">
        <v>513856770.60000002</v>
      </c>
    </row>
    <row r="215" spans="1:21" ht="15.75">
      <c r="A215" s="473">
        <v>207</v>
      </c>
      <c r="B215" s="819" t="s">
        <v>1442</v>
      </c>
      <c r="C215" s="819">
        <v>63100128</v>
      </c>
      <c r="D215" s="470">
        <v>480</v>
      </c>
      <c r="E215" s="819" t="s">
        <v>1314</v>
      </c>
      <c r="F215" s="473"/>
      <c r="G215" s="470"/>
      <c r="H215" s="470">
        <v>320</v>
      </c>
      <c r="I215" s="470">
        <v>160</v>
      </c>
      <c r="J215" s="470"/>
      <c r="K215" s="694">
        <v>199267.15</v>
      </c>
      <c r="L215" s="1007">
        <f t="shared" si="36"/>
        <v>95648232</v>
      </c>
      <c r="M215" s="1007">
        <f t="shared" si="37"/>
        <v>0</v>
      </c>
      <c r="N215" s="1007">
        <f t="shared" si="38"/>
        <v>63765488</v>
      </c>
      <c r="O215" s="1007">
        <f t="shared" si="39"/>
        <v>31882744</v>
      </c>
      <c r="P215" s="1007">
        <f t="shared" si="40"/>
        <v>0</v>
      </c>
      <c r="Q215" s="1207"/>
      <c r="R215" s="1202"/>
      <c r="S215" s="445">
        <v>320</v>
      </c>
      <c r="T215" s="991">
        <f t="shared" si="30"/>
        <v>160</v>
      </c>
      <c r="U215" s="1008">
        <v>59070294.399999999</v>
      </c>
    </row>
    <row r="216" spans="1:21" ht="15.75">
      <c r="A216" s="473">
        <v>208</v>
      </c>
      <c r="B216" s="819" t="s">
        <v>1329</v>
      </c>
      <c r="C216" s="819">
        <v>63200159</v>
      </c>
      <c r="D216" s="470">
        <v>36</v>
      </c>
      <c r="E216" s="819" t="s">
        <v>1314</v>
      </c>
      <c r="F216" s="473"/>
      <c r="G216" s="470"/>
      <c r="H216" s="470">
        <v>12</v>
      </c>
      <c r="I216" s="470">
        <v>12</v>
      </c>
      <c r="J216" s="470">
        <v>12</v>
      </c>
      <c r="K216" s="694">
        <v>3556108.49</v>
      </c>
      <c r="L216" s="1007">
        <f t="shared" si="36"/>
        <v>128019905.64000002</v>
      </c>
      <c r="M216" s="1007">
        <f t="shared" si="37"/>
        <v>0</v>
      </c>
      <c r="N216" s="1007">
        <f t="shared" si="38"/>
        <v>42673301.880000003</v>
      </c>
      <c r="O216" s="1007">
        <f t="shared" si="39"/>
        <v>42673301.880000003</v>
      </c>
      <c r="P216" s="1007">
        <f t="shared" si="40"/>
        <v>42673301.880000003</v>
      </c>
      <c r="Q216" s="1207"/>
      <c r="R216" s="1202"/>
      <c r="S216" s="445">
        <v>12</v>
      </c>
      <c r="T216" s="991">
        <f t="shared" si="30"/>
        <v>24</v>
      </c>
      <c r="U216" s="1008">
        <v>36722925.960000001</v>
      </c>
    </row>
    <row r="217" spans="1:21" ht="15.75">
      <c r="A217" s="473">
        <v>209</v>
      </c>
      <c r="B217" s="819" t="s">
        <v>1443</v>
      </c>
      <c r="C217" s="819">
        <v>64200123</v>
      </c>
      <c r="D217" s="470">
        <v>5</v>
      </c>
      <c r="E217" s="819" t="s">
        <v>1314</v>
      </c>
      <c r="F217" s="473"/>
      <c r="G217" s="470"/>
      <c r="H217" s="470">
        <v>5</v>
      </c>
      <c r="I217" s="470"/>
      <c r="J217" s="470"/>
      <c r="K217" s="694">
        <v>10719492.51</v>
      </c>
      <c r="L217" s="1007">
        <f t="shared" si="36"/>
        <v>53597462.549999997</v>
      </c>
      <c r="M217" s="1007">
        <f t="shared" si="37"/>
        <v>0</v>
      </c>
      <c r="N217" s="1007">
        <f t="shared" si="38"/>
        <v>53597462.549999997</v>
      </c>
      <c r="O217" s="1007">
        <f t="shared" si="39"/>
        <v>0</v>
      </c>
      <c r="P217" s="1007">
        <f t="shared" si="40"/>
        <v>0</v>
      </c>
      <c r="Q217" s="1207"/>
      <c r="R217" s="1202"/>
      <c r="S217" s="445">
        <v>5</v>
      </c>
      <c r="T217" s="991">
        <f t="shared" si="30"/>
        <v>0</v>
      </c>
      <c r="U217" s="1008">
        <v>43131211.299999997</v>
      </c>
    </row>
    <row r="218" spans="1:21" ht="15.75">
      <c r="A218" s="473">
        <v>210</v>
      </c>
      <c r="B218" s="819" t="s">
        <v>1379</v>
      </c>
      <c r="C218" s="819">
        <v>64200127</v>
      </c>
      <c r="D218" s="470">
        <v>10</v>
      </c>
      <c r="E218" s="819" t="s">
        <v>1314</v>
      </c>
      <c r="F218" s="473"/>
      <c r="G218" s="470"/>
      <c r="H218" s="470">
        <v>6</v>
      </c>
      <c r="I218" s="470">
        <v>4</v>
      </c>
      <c r="J218" s="470"/>
      <c r="K218" s="694">
        <v>16066447</v>
      </c>
      <c r="L218" s="1007">
        <f t="shared" si="36"/>
        <v>160664470</v>
      </c>
      <c r="M218" s="1007">
        <f t="shared" si="37"/>
        <v>0</v>
      </c>
      <c r="N218" s="1007">
        <f t="shared" si="38"/>
        <v>96398682</v>
      </c>
      <c r="O218" s="1007">
        <f t="shared" si="39"/>
        <v>64265788</v>
      </c>
      <c r="P218" s="1007">
        <f t="shared" si="40"/>
        <v>0</v>
      </c>
      <c r="Q218" s="1207"/>
      <c r="R218" s="1202"/>
      <c r="S218" s="445">
        <v>6</v>
      </c>
      <c r="T218" s="991">
        <f t="shared" si="30"/>
        <v>4</v>
      </c>
      <c r="U218" s="1008">
        <v>77574417.299999997</v>
      </c>
    </row>
    <row r="219" spans="1:21" ht="15.75">
      <c r="A219" s="473">
        <v>211</v>
      </c>
      <c r="B219" s="819" t="s">
        <v>1380</v>
      </c>
      <c r="C219" s="819">
        <v>63500331</v>
      </c>
      <c r="D219" s="470">
        <v>10</v>
      </c>
      <c r="E219" s="819" t="s">
        <v>1314</v>
      </c>
      <c r="F219" s="473"/>
      <c r="G219" s="470"/>
      <c r="H219" s="470">
        <v>5</v>
      </c>
      <c r="I219" s="470">
        <v>5</v>
      </c>
      <c r="J219" s="470"/>
      <c r="K219" s="694">
        <v>3479357.95</v>
      </c>
      <c r="L219" s="1007">
        <f t="shared" si="36"/>
        <v>34793579.5</v>
      </c>
      <c r="M219" s="1007">
        <f t="shared" si="37"/>
        <v>0</v>
      </c>
      <c r="N219" s="1007">
        <f t="shared" si="38"/>
        <v>17396789.75</v>
      </c>
      <c r="O219" s="1007">
        <f t="shared" si="39"/>
        <v>17396789.75</v>
      </c>
      <c r="P219" s="1007">
        <f t="shared" si="40"/>
        <v>0</v>
      </c>
      <c r="Q219" s="1207"/>
      <c r="R219" s="1202"/>
      <c r="S219" s="445">
        <v>5</v>
      </c>
      <c r="T219" s="991">
        <f t="shared" si="30"/>
        <v>5</v>
      </c>
      <c r="U219" s="1008">
        <v>13999629.449999999</v>
      </c>
    </row>
    <row r="220" spans="1:21" ht="15.75">
      <c r="A220" s="473">
        <v>212</v>
      </c>
      <c r="B220" s="819" t="s">
        <v>1384</v>
      </c>
      <c r="C220" s="819">
        <v>63200155</v>
      </c>
      <c r="D220" s="470">
        <v>10</v>
      </c>
      <c r="E220" s="819" t="s">
        <v>1314</v>
      </c>
      <c r="F220" s="473"/>
      <c r="G220" s="470"/>
      <c r="H220" s="470">
        <v>5</v>
      </c>
      <c r="I220" s="470">
        <v>5</v>
      </c>
      <c r="J220" s="470"/>
      <c r="K220" s="694">
        <v>1432676.8</v>
      </c>
      <c r="L220" s="1007">
        <f t="shared" si="36"/>
        <v>14326768</v>
      </c>
      <c r="M220" s="1007">
        <f t="shared" si="37"/>
        <v>0</v>
      </c>
      <c r="N220" s="1007">
        <f t="shared" si="38"/>
        <v>7163384</v>
      </c>
      <c r="O220" s="1007">
        <f t="shared" si="39"/>
        <v>7163384</v>
      </c>
      <c r="P220" s="1007">
        <f t="shared" si="40"/>
        <v>0</v>
      </c>
      <c r="Q220" s="1207"/>
      <c r="R220" s="1202"/>
      <c r="S220" s="445">
        <v>5</v>
      </c>
      <c r="T220" s="991">
        <f t="shared" si="30"/>
        <v>5</v>
      </c>
      <c r="U220" s="1008">
        <v>6164519.9500000002</v>
      </c>
    </row>
    <row r="221" spans="1:21" ht="15.75">
      <c r="A221" s="473">
        <v>213</v>
      </c>
      <c r="B221" s="819" t="s">
        <v>1384</v>
      </c>
      <c r="C221" s="819">
        <v>63200183</v>
      </c>
      <c r="D221" s="470">
        <v>10</v>
      </c>
      <c r="E221" s="819" t="s">
        <v>1314</v>
      </c>
      <c r="F221" s="473"/>
      <c r="G221" s="470"/>
      <c r="H221" s="470">
        <v>5</v>
      </c>
      <c r="I221" s="470">
        <v>5</v>
      </c>
      <c r="J221" s="470"/>
      <c r="K221" s="694">
        <v>2737436.03</v>
      </c>
      <c r="L221" s="1007">
        <f t="shared" si="36"/>
        <v>27374360.299999997</v>
      </c>
      <c r="M221" s="1007">
        <f t="shared" si="37"/>
        <v>0</v>
      </c>
      <c r="N221" s="1007">
        <f t="shared" si="38"/>
        <v>13687180.149999999</v>
      </c>
      <c r="O221" s="1007">
        <f t="shared" si="39"/>
        <v>13687180.149999999</v>
      </c>
      <c r="P221" s="1007">
        <f t="shared" si="40"/>
        <v>0</v>
      </c>
      <c r="Q221" s="1207"/>
      <c r="R221" s="1202"/>
      <c r="S221" s="445">
        <v>5</v>
      </c>
      <c r="T221" s="991">
        <f t="shared" si="30"/>
        <v>5</v>
      </c>
      <c r="U221" s="1008">
        <v>11778636.35</v>
      </c>
    </row>
    <row r="222" spans="1:21" ht="15.75">
      <c r="A222" s="473">
        <v>214</v>
      </c>
      <c r="B222" s="819" t="s">
        <v>1444</v>
      </c>
      <c r="C222" s="819">
        <v>63200202</v>
      </c>
      <c r="D222" s="470">
        <v>10</v>
      </c>
      <c r="E222" s="819" t="s">
        <v>1314</v>
      </c>
      <c r="F222" s="473"/>
      <c r="G222" s="470"/>
      <c r="H222" s="470">
        <v>5</v>
      </c>
      <c r="I222" s="470">
        <v>5</v>
      </c>
      <c r="J222" s="470"/>
      <c r="K222" s="694">
        <v>142414.9</v>
      </c>
      <c r="L222" s="1007">
        <f t="shared" si="36"/>
        <v>1424149</v>
      </c>
      <c r="M222" s="1007">
        <f t="shared" si="37"/>
        <v>0</v>
      </c>
      <c r="N222" s="1007">
        <f t="shared" si="38"/>
        <v>712074.5</v>
      </c>
      <c r="O222" s="1007">
        <f t="shared" si="39"/>
        <v>712074.5</v>
      </c>
      <c r="P222" s="1007">
        <f t="shared" si="40"/>
        <v>0</v>
      </c>
      <c r="Q222" s="1207"/>
      <c r="R222" s="1202"/>
      <c r="S222" s="445">
        <v>5</v>
      </c>
      <c r="T222" s="991">
        <f t="shared" si="30"/>
        <v>5</v>
      </c>
      <c r="U222" s="1008">
        <v>612782.6</v>
      </c>
    </row>
    <row r="223" spans="1:21" ht="15.75">
      <c r="A223" s="473">
        <v>215</v>
      </c>
      <c r="B223" s="819" t="s">
        <v>1436</v>
      </c>
      <c r="C223" s="819">
        <v>64200293</v>
      </c>
      <c r="D223" s="470">
        <v>3</v>
      </c>
      <c r="E223" s="819" t="s">
        <v>1314</v>
      </c>
      <c r="F223" s="473"/>
      <c r="G223" s="470"/>
      <c r="H223" s="470">
        <v>2</v>
      </c>
      <c r="I223" s="470">
        <v>1</v>
      </c>
      <c r="J223" s="470"/>
      <c r="K223" s="694">
        <v>511670.29</v>
      </c>
      <c r="L223" s="1007">
        <f t="shared" si="36"/>
        <v>1535010.8699999999</v>
      </c>
      <c r="M223" s="1007">
        <f t="shared" si="37"/>
        <v>0</v>
      </c>
      <c r="N223" s="1007">
        <f t="shared" si="38"/>
        <v>1023340.58</v>
      </c>
      <c r="O223" s="1007">
        <f t="shared" si="39"/>
        <v>511670.29</v>
      </c>
      <c r="P223" s="1007">
        <f t="shared" si="40"/>
        <v>0</v>
      </c>
      <c r="Q223" s="1207"/>
      <c r="R223" s="1202"/>
      <c r="S223" s="445">
        <v>2</v>
      </c>
      <c r="T223" s="991">
        <f t="shared" si="30"/>
        <v>1</v>
      </c>
      <c r="U223" s="1008">
        <v>880645.7</v>
      </c>
    </row>
    <row r="224" spans="1:21" ht="15.75">
      <c r="A224" s="473">
        <v>216</v>
      </c>
      <c r="B224" s="819" t="s">
        <v>925</v>
      </c>
      <c r="C224" s="819">
        <v>64200143</v>
      </c>
      <c r="D224" s="470">
        <v>3</v>
      </c>
      <c r="E224" s="819" t="s">
        <v>1314</v>
      </c>
      <c r="F224" s="473"/>
      <c r="G224" s="470"/>
      <c r="H224" s="470">
        <v>2</v>
      </c>
      <c r="I224" s="470">
        <v>1</v>
      </c>
      <c r="J224" s="470"/>
      <c r="K224" s="694">
        <v>2993271.18</v>
      </c>
      <c r="L224" s="1007">
        <f t="shared" si="36"/>
        <v>8979813.540000001</v>
      </c>
      <c r="M224" s="1007">
        <f t="shared" si="37"/>
        <v>0</v>
      </c>
      <c r="N224" s="1007">
        <f t="shared" si="38"/>
        <v>5986542.3600000003</v>
      </c>
      <c r="O224" s="1007">
        <f t="shared" si="39"/>
        <v>2993271.18</v>
      </c>
      <c r="P224" s="1007">
        <f t="shared" si="40"/>
        <v>0</v>
      </c>
      <c r="Q224" s="1207"/>
      <c r="R224" s="1202"/>
      <c r="S224" s="445">
        <v>2</v>
      </c>
      <c r="T224" s="991">
        <f t="shared" si="30"/>
        <v>1</v>
      </c>
      <c r="U224" s="1008">
        <v>5151777.38</v>
      </c>
    </row>
    <row r="225" spans="1:21" ht="15.75">
      <c r="A225" s="473">
        <v>217</v>
      </c>
      <c r="B225" s="819" t="s">
        <v>1445</v>
      </c>
      <c r="C225" s="819">
        <v>64200296</v>
      </c>
      <c r="D225" s="470">
        <v>3</v>
      </c>
      <c r="E225" s="819" t="s">
        <v>1314</v>
      </c>
      <c r="F225" s="473"/>
      <c r="G225" s="470"/>
      <c r="H225" s="470">
        <v>2</v>
      </c>
      <c r="I225" s="470">
        <v>1</v>
      </c>
      <c r="J225" s="470"/>
      <c r="K225" s="694">
        <v>14139.49</v>
      </c>
      <c r="L225" s="1007">
        <f t="shared" si="36"/>
        <v>42418.47</v>
      </c>
      <c r="M225" s="1007">
        <f t="shared" si="37"/>
        <v>0</v>
      </c>
      <c r="N225" s="1007">
        <f t="shared" si="38"/>
        <v>28278.98</v>
      </c>
      <c r="O225" s="1007">
        <f t="shared" si="39"/>
        <v>14139.49</v>
      </c>
      <c r="P225" s="1007">
        <f t="shared" si="40"/>
        <v>0</v>
      </c>
      <c r="Q225" s="1207"/>
      <c r="R225" s="1202"/>
      <c r="S225" s="445">
        <v>2</v>
      </c>
      <c r="T225" s="991">
        <f t="shared" si="30"/>
        <v>1</v>
      </c>
      <c r="U225" s="1008">
        <v>17612.900000000001</v>
      </c>
    </row>
    <row r="226" spans="1:21" ht="15.75">
      <c r="A226" s="473">
        <v>218</v>
      </c>
      <c r="B226" s="819" t="s">
        <v>1436</v>
      </c>
      <c r="C226" s="819">
        <v>64200294</v>
      </c>
      <c r="D226" s="470">
        <v>1</v>
      </c>
      <c r="E226" s="819" t="s">
        <v>1314</v>
      </c>
      <c r="F226" s="473"/>
      <c r="G226" s="470"/>
      <c r="H226" s="470">
        <v>1</v>
      </c>
      <c r="I226" s="470"/>
      <c r="J226" s="470"/>
      <c r="K226" s="694">
        <v>1483843.83</v>
      </c>
      <c r="L226" s="1007">
        <f t="shared" si="36"/>
        <v>1483843.83</v>
      </c>
      <c r="M226" s="1007">
        <f t="shared" si="37"/>
        <v>0</v>
      </c>
      <c r="N226" s="1007">
        <f t="shared" si="38"/>
        <v>1483843.83</v>
      </c>
      <c r="O226" s="1007">
        <f t="shared" si="39"/>
        <v>0</v>
      </c>
      <c r="P226" s="1007">
        <f t="shared" si="40"/>
        <v>0</v>
      </c>
      <c r="Q226" s="1207"/>
      <c r="R226" s="1202"/>
      <c r="S226" s="445">
        <v>1</v>
      </c>
      <c r="T226" s="991">
        <f t="shared" si="30"/>
        <v>0</v>
      </c>
      <c r="U226" s="1008">
        <v>1276936.27</v>
      </c>
    </row>
    <row r="227" spans="1:21" ht="15.75">
      <c r="A227" s="473">
        <v>219</v>
      </c>
      <c r="B227" s="819" t="s">
        <v>1436</v>
      </c>
      <c r="C227" s="819">
        <v>64200295</v>
      </c>
      <c r="D227" s="470">
        <v>3</v>
      </c>
      <c r="E227" s="819" t="s">
        <v>1314</v>
      </c>
      <c r="F227" s="473"/>
      <c r="G227" s="470"/>
      <c r="H227" s="470">
        <v>2</v>
      </c>
      <c r="I227" s="470">
        <v>1</v>
      </c>
      <c r="J227" s="470"/>
      <c r="K227" s="694">
        <v>511670.29</v>
      </c>
      <c r="L227" s="1007">
        <f t="shared" si="36"/>
        <v>1535010.8699999999</v>
      </c>
      <c r="M227" s="1007">
        <f t="shared" si="37"/>
        <v>0</v>
      </c>
      <c r="N227" s="1007">
        <f t="shared" si="38"/>
        <v>1023340.58</v>
      </c>
      <c r="O227" s="1007">
        <f t="shared" si="39"/>
        <v>511670.29</v>
      </c>
      <c r="P227" s="1007">
        <f t="shared" si="40"/>
        <v>0</v>
      </c>
      <c r="Q227" s="1207"/>
      <c r="R227" s="1202"/>
      <c r="S227" s="445">
        <v>2</v>
      </c>
      <c r="T227" s="991">
        <f t="shared" ref="T227:T290" si="41">G227+H227+I227+J227-S227</f>
        <v>1</v>
      </c>
      <c r="U227" s="1008">
        <v>880645.7</v>
      </c>
    </row>
    <row r="228" spans="1:21" ht="15.75">
      <c r="A228" s="473">
        <v>220</v>
      </c>
      <c r="B228" s="819" t="s">
        <v>1446</v>
      </c>
      <c r="C228" s="819">
        <v>64200118</v>
      </c>
      <c r="D228" s="470">
        <v>3</v>
      </c>
      <c r="E228" s="819" t="s">
        <v>1314</v>
      </c>
      <c r="F228" s="473"/>
      <c r="G228" s="470"/>
      <c r="H228" s="470">
        <v>2</v>
      </c>
      <c r="I228" s="470">
        <v>1</v>
      </c>
      <c r="J228" s="470"/>
      <c r="K228" s="694">
        <v>31544473.18</v>
      </c>
      <c r="L228" s="1007">
        <f t="shared" si="36"/>
        <v>94633419.539999992</v>
      </c>
      <c r="M228" s="1007">
        <f t="shared" si="37"/>
        <v>0</v>
      </c>
      <c r="N228" s="1007">
        <f t="shared" si="38"/>
        <v>63088946.359999999</v>
      </c>
      <c r="O228" s="1007">
        <f t="shared" si="39"/>
        <v>31544473.18</v>
      </c>
      <c r="P228" s="1007">
        <f t="shared" si="40"/>
        <v>0</v>
      </c>
      <c r="Q228" s="1207"/>
      <c r="R228" s="1202"/>
      <c r="S228" s="445">
        <v>2</v>
      </c>
      <c r="T228" s="991">
        <f t="shared" si="41"/>
        <v>1</v>
      </c>
      <c r="U228" s="1008">
        <v>54291807.939999998</v>
      </c>
    </row>
    <row r="229" spans="1:21" ht="15.75">
      <c r="A229" s="473">
        <v>221</v>
      </c>
      <c r="B229" s="819" t="s">
        <v>1447</v>
      </c>
      <c r="C229" s="819">
        <v>63500108</v>
      </c>
      <c r="D229" s="470">
        <v>10</v>
      </c>
      <c r="E229" s="819" t="s">
        <v>1314</v>
      </c>
      <c r="F229" s="473"/>
      <c r="G229" s="470"/>
      <c r="H229" s="470">
        <v>5</v>
      </c>
      <c r="I229" s="470">
        <v>5</v>
      </c>
      <c r="J229" s="470"/>
      <c r="K229" s="694">
        <v>2967687.66</v>
      </c>
      <c r="L229" s="1007">
        <f t="shared" si="36"/>
        <v>29676876.600000001</v>
      </c>
      <c r="M229" s="1007">
        <f t="shared" si="37"/>
        <v>0</v>
      </c>
      <c r="N229" s="1007">
        <f t="shared" si="38"/>
        <v>14838438.300000001</v>
      </c>
      <c r="O229" s="1007">
        <f t="shared" si="39"/>
        <v>14838438.300000001</v>
      </c>
      <c r="P229" s="1007">
        <f t="shared" si="40"/>
        <v>0</v>
      </c>
      <c r="Q229" s="1207"/>
      <c r="R229" s="1202"/>
      <c r="S229" s="445">
        <v>5</v>
      </c>
      <c r="T229" s="991">
        <f t="shared" si="41"/>
        <v>5</v>
      </c>
      <c r="U229" s="1008">
        <v>12769362.75</v>
      </c>
    </row>
    <row r="230" spans="1:21" ht="15.75">
      <c r="A230" s="473">
        <v>222</v>
      </c>
      <c r="B230" s="819" t="s">
        <v>1448</v>
      </c>
      <c r="C230" s="819">
        <v>63500109</v>
      </c>
      <c r="D230" s="470">
        <v>10</v>
      </c>
      <c r="E230" s="819" t="s">
        <v>1314</v>
      </c>
      <c r="F230" s="473"/>
      <c r="G230" s="470"/>
      <c r="H230" s="470">
        <v>5</v>
      </c>
      <c r="I230" s="470">
        <v>5</v>
      </c>
      <c r="J230" s="470"/>
      <c r="K230" s="694">
        <v>997757.06</v>
      </c>
      <c r="L230" s="1007">
        <f t="shared" si="36"/>
        <v>9977570.6000000015</v>
      </c>
      <c r="M230" s="1007">
        <f t="shared" si="37"/>
        <v>0</v>
      </c>
      <c r="N230" s="1007">
        <f t="shared" si="38"/>
        <v>4988785.3000000007</v>
      </c>
      <c r="O230" s="1007">
        <f t="shared" si="39"/>
        <v>4988785.3000000007</v>
      </c>
      <c r="P230" s="1007">
        <f t="shared" si="40"/>
        <v>0</v>
      </c>
      <c r="Q230" s="1207"/>
      <c r="R230" s="1202"/>
      <c r="S230" s="445">
        <v>5</v>
      </c>
      <c r="T230" s="991">
        <f t="shared" si="41"/>
        <v>5</v>
      </c>
      <c r="U230" s="1008">
        <v>4293147.8</v>
      </c>
    </row>
    <row r="231" spans="1:21" ht="15.75">
      <c r="A231" s="473">
        <v>223</v>
      </c>
      <c r="B231" s="819" t="s">
        <v>1449</v>
      </c>
      <c r="C231" s="819">
        <v>63300108</v>
      </c>
      <c r="D231" s="470">
        <v>5</v>
      </c>
      <c r="E231" s="819" t="s">
        <v>1314</v>
      </c>
      <c r="F231" s="473"/>
      <c r="G231" s="470"/>
      <c r="H231" s="470">
        <v>3</v>
      </c>
      <c r="I231" s="470">
        <v>2</v>
      </c>
      <c r="J231" s="470"/>
      <c r="K231" s="694">
        <v>7598303.7599999998</v>
      </c>
      <c r="L231" s="1007">
        <f t="shared" si="36"/>
        <v>37991518.799999997</v>
      </c>
      <c r="M231" s="1007">
        <f t="shared" si="37"/>
        <v>0</v>
      </c>
      <c r="N231" s="1007">
        <f t="shared" si="38"/>
        <v>22794911.280000001</v>
      </c>
      <c r="O231" s="1007">
        <f t="shared" si="39"/>
        <v>15196607.52</v>
      </c>
      <c r="P231" s="1007">
        <f t="shared" si="40"/>
        <v>0</v>
      </c>
      <c r="Q231" s="1207"/>
      <c r="R231" s="1202"/>
      <c r="S231" s="445">
        <v>3</v>
      </c>
      <c r="T231" s="991">
        <f t="shared" si="41"/>
        <v>2</v>
      </c>
      <c r="U231" s="1008">
        <v>19616383.140000001</v>
      </c>
    </row>
    <row r="232" spans="1:21" ht="15.75">
      <c r="A232" s="473">
        <v>224</v>
      </c>
      <c r="B232" s="819" t="s">
        <v>1450</v>
      </c>
      <c r="C232" s="819">
        <v>63300112</v>
      </c>
      <c r="D232" s="470">
        <v>10</v>
      </c>
      <c r="E232" s="819" t="s">
        <v>1314</v>
      </c>
      <c r="F232" s="473"/>
      <c r="G232" s="470"/>
      <c r="H232" s="470">
        <v>5</v>
      </c>
      <c r="I232" s="470">
        <v>5</v>
      </c>
      <c r="J232" s="470"/>
      <c r="K232" s="694">
        <v>2763019.55</v>
      </c>
      <c r="L232" s="1007">
        <f t="shared" si="36"/>
        <v>27630195.5</v>
      </c>
      <c r="M232" s="1007">
        <f t="shared" si="37"/>
        <v>0</v>
      </c>
      <c r="N232" s="1007">
        <f t="shared" si="38"/>
        <v>13815097.75</v>
      </c>
      <c r="O232" s="1007">
        <f t="shared" si="39"/>
        <v>13815097.75</v>
      </c>
      <c r="P232" s="1007">
        <f t="shared" si="40"/>
        <v>0</v>
      </c>
      <c r="Q232" s="1207"/>
      <c r="R232" s="1202"/>
      <c r="S232" s="445">
        <v>5</v>
      </c>
      <c r="T232" s="991">
        <f t="shared" si="41"/>
        <v>5</v>
      </c>
      <c r="U232" s="1008">
        <v>12797862.1</v>
      </c>
    </row>
    <row r="233" spans="1:21" ht="15.75">
      <c r="A233" s="473">
        <v>225</v>
      </c>
      <c r="B233" s="819" t="s">
        <v>1451</v>
      </c>
      <c r="C233" s="819">
        <v>63300100</v>
      </c>
      <c r="D233" s="470">
        <v>15</v>
      </c>
      <c r="E233" s="819" t="s">
        <v>1314</v>
      </c>
      <c r="F233" s="473"/>
      <c r="G233" s="470"/>
      <c r="H233" s="470">
        <v>5</v>
      </c>
      <c r="I233" s="470">
        <v>5</v>
      </c>
      <c r="J233" s="470">
        <v>5</v>
      </c>
      <c r="K233" s="694">
        <v>11589331.99</v>
      </c>
      <c r="L233" s="1007">
        <f t="shared" si="36"/>
        <v>173839979.84999999</v>
      </c>
      <c r="M233" s="1007">
        <f t="shared" si="37"/>
        <v>0</v>
      </c>
      <c r="N233" s="1007">
        <f t="shared" si="38"/>
        <v>57946659.950000003</v>
      </c>
      <c r="O233" s="1007">
        <f t="shared" si="39"/>
        <v>57946659.950000003</v>
      </c>
      <c r="P233" s="1007">
        <f t="shared" si="40"/>
        <v>57946659.950000003</v>
      </c>
      <c r="Q233" s="1207"/>
      <c r="R233" s="1202"/>
      <c r="S233" s="445">
        <v>5</v>
      </c>
      <c r="T233" s="991">
        <f t="shared" si="41"/>
        <v>10</v>
      </c>
      <c r="U233" s="1008">
        <v>51773242.399999999</v>
      </c>
    </row>
    <row r="234" spans="1:21" ht="15.75">
      <c r="A234" s="473">
        <v>226</v>
      </c>
      <c r="B234" s="819" t="s">
        <v>1451</v>
      </c>
      <c r="C234" s="819">
        <v>63300101</v>
      </c>
      <c r="D234" s="470">
        <v>10</v>
      </c>
      <c r="E234" s="819" t="s">
        <v>1314</v>
      </c>
      <c r="F234" s="819" t="s">
        <v>1998</v>
      </c>
      <c r="G234" s="470"/>
      <c r="H234" s="470">
        <v>5</v>
      </c>
      <c r="I234" s="470">
        <v>5</v>
      </c>
      <c r="J234" s="470"/>
      <c r="K234" s="694">
        <v>14173266.939999999</v>
      </c>
      <c r="L234" s="1007">
        <f t="shared" si="36"/>
        <v>141732669.40000001</v>
      </c>
      <c r="M234" s="1007">
        <f t="shared" si="37"/>
        <v>0</v>
      </c>
      <c r="N234" s="1007">
        <f t="shared" si="38"/>
        <v>70866334.700000003</v>
      </c>
      <c r="O234" s="1007">
        <f t="shared" si="39"/>
        <v>70866334.700000003</v>
      </c>
      <c r="P234" s="1007">
        <f t="shared" si="40"/>
        <v>0</v>
      </c>
      <c r="Q234" s="1207"/>
      <c r="R234" s="1202"/>
      <c r="S234" s="445">
        <v>5</v>
      </c>
      <c r="T234" s="991">
        <f t="shared" si="41"/>
        <v>5</v>
      </c>
      <c r="U234" s="1008">
        <v>63316503.950000003</v>
      </c>
    </row>
    <row r="235" spans="1:21" ht="15.75">
      <c r="A235" s="473">
        <v>227</v>
      </c>
      <c r="B235" s="819" t="s">
        <v>1452</v>
      </c>
      <c r="C235" s="819">
        <v>63300107</v>
      </c>
      <c r="D235" s="470">
        <v>5</v>
      </c>
      <c r="E235" s="819" t="s">
        <v>1314</v>
      </c>
      <c r="F235" s="473"/>
      <c r="G235" s="470"/>
      <c r="H235" s="470">
        <v>5</v>
      </c>
      <c r="I235" s="470"/>
      <c r="J235" s="470"/>
      <c r="K235" s="694">
        <v>10821826.560000001</v>
      </c>
      <c r="L235" s="1007">
        <f t="shared" si="36"/>
        <v>54109132.800000004</v>
      </c>
      <c r="M235" s="1007">
        <f t="shared" si="37"/>
        <v>0</v>
      </c>
      <c r="N235" s="1007">
        <f t="shared" si="38"/>
        <v>54109132.800000004</v>
      </c>
      <c r="O235" s="1007">
        <f t="shared" si="39"/>
        <v>0</v>
      </c>
      <c r="P235" s="1007">
        <f t="shared" si="40"/>
        <v>0</v>
      </c>
      <c r="Q235" s="1207"/>
      <c r="R235" s="1202"/>
      <c r="S235" s="445">
        <v>5</v>
      </c>
      <c r="T235" s="991">
        <f t="shared" si="41"/>
        <v>0</v>
      </c>
      <c r="U235" s="1008">
        <v>48344550.850000001</v>
      </c>
    </row>
    <row r="236" spans="1:21" ht="15.75">
      <c r="A236" s="473">
        <v>228</v>
      </c>
      <c r="B236" s="819" t="s">
        <v>1452</v>
      </c>
      <c r="C236" s="819">
        <v>63300120</v>
      </c>
      <c r="D236" s="470">
        <v>5</v>
      </c>
      <c r="E236" s="819" t="s">
        <v>1314</v>
      </c>
      <c r="F236" s="473"/>
      <c r="G236" s="470"/>
      <c r="H236" s="470">
        <v>5</v>
      </c>
      <c r="I236" s="470"/>
      <c r="J236" s="470"/>
      <c r="K236" s="694">
        <v>9568234.3599999994</v>
      </c>
      <c r="L236" s="1007">
        <f t="shared" si="36"/>
        <v>47841171.799999997</v>
      </c>
      <c r="M236" s="1007">
        <f t="shared" si="37"/>
        <v>0</v>
      </c>
      <c r="N236" s="1007">
        <f t="shared" si="38"/>
        <v>47841171.799999997</v>
      </c>
      <c r="O236" s="1007">
        <f t="shared" si="39"/>
        <v>0</v>
      </c>
      <c r="P236" s="1007">
        <f t="shared" si="40"/>
        <v>0</v>
      </c>
      <c r="Q236" s="1207"/>
      <c r="R236" s="1202"/>
      <c r="S236" s="445">
        <v>5</v>
      </c>
      <c r="T236" s="991">
        <f t="shared" si="41"/>
        <v>0</v>
      </c>
      <c r="U236" s="1008">
        <v>42744354.649999999</v>
      </c>
    </row>
    <row r="237" spans="1:21" ht="15.75">
      <c r="A237" s="473">
        <v>229</v>
      </c>
      <c r="B237" s="819" t="s">
        <v>1453</v>
      </c>
      <c r="C237" s="819">
        <v>63300114</v>
      </c>
      <c r="D237" s="470">
        <v>5</v>
      </c>
      <c r="E237" s="819" t="s">
        <v>1314</v>
      </c>
      <c r="F237" s="473"/>
      <c r="G237" s="470"/>
      <c r="H237" s="470">
        <v>5</v>
      </c>
      <c r="I237" s="470"/>
      <c r="J237" s="470"/>
      <c r="K237" s="694">
        <v>9465900.3000000007</v>
      </c>
      <c r="L237" s="1007">
        <f t="shared" si="36"/>
        <v>47329501.5</v>
      </c>
      <c r="M237" s="1007">
        <f t="shared" si="37"/>
        <v>0</v>
      </c>
      <c r="N237" s="1007">
        <f t="shared" si="38"/>
        <v>47329501.5</v>
      </c>
      <c r="O237" s="1007">
        <f t="shared" si="39"/>
        <v>0</v>
      </c>
      <c r="P237" s="1007">
        <f t="shared" si="40"/>
        <v>0</v>
      </c>
      <c r="Q237" s="1207"/>
      <c r="R237" s="1202"/>
      <c r="S237" s="445">
        <v>5</v>
      </c>
      <c r="T237" s="991">
        <f t="shared" si="41"/>
        <v>0</v>
      </c>
      <c r="U237" s="1008">
        <v>42287195.799999997</v>
      </c>
    </row>
    <row r="238" spans="1:21" ht="15.75">
      <c r="A238" s="473">
        <v>230</v>
      </c>
      <c r="B238" s="819" t="s">
        <v>1394</v>
      </c>
      <c r="C238" s="819">
        <v>63300121</v>
      </c>
      <c r="D238" s="470">
        <v>5</v>
      </c>
      <c r="E238" s="819" t="s">
        <v>1314</v>
      </c>
      <c r="F238" s="473"/>
      <c r="G238" s="470"/>
      <c r="H238" s="470">
        <v>5</v>
      </c>
      <c r="I238" s="470"/>
      <c r="J238" s="470"/>
      <c r="K238" s="694">
        <v>6523796.1600000001</v>
      </c>
      <c r="L238" s="1007">
        <f t="shared" si="36"/>
        <v>32618980.800000001</v>
      </c>
      <c r="M238" s="1007">
        <f t="shared" si="37"/>
        <v>0</v>
      </c>
      <c r="N238" s="1007">
        <f t="shared" si="38"/>
        <v>32618980.800000001</v>
      </c>
      <c r="O238" s="1007">
        <f t="shared" si="39"/>
        <v>0</v>
      </c>
      <c r="P238" s="1007">
        <f t="shared" si="40"/>
        <v>0</v>
      </c>
      <c r="Q238" s="1207"/>
      <c r="R238" s="1202"/>
      <c r="S238" s="445">
        <v>5</v>
      </c>
      <c r="T238" s="991">
        <f t="shared" si="41"/>
        <v>0</v>
      </c>
      <c r="U238" s="1008">
        <v>29143878.149999999</v>
      </c>
    </row>
    <row r="239" spans="1:21" ht="15.75">
      <c r="A239" s="473">
        <v>231</v>
      </c>
      <c r="B239" s="819" t="s">
        <v>1454</v>
      </c>
      <c r="C239" s="819">
        <v>63300115</v>
      </c>
      <c r="D239" s="470">
        <v>5</v>
      </c>
      <c r="E239" s="819" t="s">
        <v>1314</v>
      </c>
      <c r="F239" s="473"/>
      <c r="G239" s="470"/>
      <c r="H239" s="470">
        <v>5</v>
      </c>
      <c r="I239" s="470"/>
      <c r="J239" s="470"/>
      <c r="K239" s="694">
        <v>997757.06</v>
      </c>
      <c r="L239" s="1007">
        <f t="shared" si="36"/>
        <v>4988785.3000000007</v>
      </c>
      <c r="M239" s="1007">
        <f t="shared" si="37"/>
        <v>0</v>
      </c>
      <c r="N239" s="1007">
        <f t="shared" si="38"/>
        <v>4988785.3000000007</v>
      </c>
      <c r="O239" s="1007">
        <f t="shared" si="39"/>
        <v>0</v>
      </c>
      <c r="P239" s="1007">
        <f t="shared" si="40"/>
        <v>0</v>
      </c>
      <c r="Q239" s="1207"/>
      <c r="R239" s="1202"/>
      <c r="S239" s="445">
        <v>5</v>
      </c>
      <c r="T239" s="991">
        <f t="shared" si="41"/>
        <v>0</v>
      </c>
      <c r="U239" s="1008">
        <v>4457299</v>
      </c>
    </row>
    <row r="240" spans="1:21" ht="15.75">
      <c r="A240" s="473">
        <v>232</v>
      </c>
      <c r="B240" s="819" t="s">
        <v>1453</v>
      </c>
      <c r="C240" s="819">
        <v>63300113</v>
      </c>
      <c r="D240" s="470">
        <v>10</v>
      </c>
      <c r="E240" s="819" t="s">
        <v>1314</v>
      </c>
      <c r="F240" s="819" t="s">
        <v>1994</v>
      </c>
      <c r="G240" s="470"/>
      <c r="H240" s="470">
        <v>5</v>
      </c>
      <c r="I240" s="470">
        <v>5</v>
      </c>
      <c r="J240" s="470"/>
      <c r="K240" s="694">
        <v>2711852.52</v>
      </c>
      <c r="L240" s="1007">
        <f t="shared" si="36"/>
        <v>27118525.199999999</v>
      </c>
      <c r="M240" s="1007">
        <f t="shared" si="37"/>
        <v>0</v>
      </c>
      <c r="N240" s="1007">
        <f t="shared" si="38"/>
        <v>13559262.6</v>
      </c>
      <c r="O240" s="1007">
        <f t="shared" si="39"/>
        <v>13559262.6</v>
      </c>
      <c r="P240" s="1007">
        <f t="shared" si="40"/>
        <v>0</v>
      </c>
      <c r="Q240" s="1207"/>
      <c r="R240" s="1202"/>
      <c r="S240" s="445">
        <v>5</v>
      </c>
      <c r="T240" s="991">
        <f t="shared" si="41"/>
        <v>5</v>
      </c>
      <c r="U240" s="1008">
        <v>12114710.15</v>
      </c>
    </row>
    <row r="241" spans="1:21" ht="15.75">
      <c r="A241" s="473">
        <v>233</v>
      </c>
      <c r="B241" s="819" t="s">
        <v>1394</v>
      </c>
      <c r="C241" s="819">
        <v>63300126</v>
      </c>
      <c r="D241" s="470">
        <v>2</v>
      </c>
      <c r="E241" s="819" t="s">
        <v>1314</v>
      </c>
      <c r="F241" s="473"/>
      <c r="G241" s="470"/>
      <c r="H241" s="470">
        <v>2</v>
      </c>
      <c r="I241" s="470"/>
      <c r="J241" s="470"/>
      <c r="K241" s="694">
        <v>7112216.9900000002</v>
      </c>
      <c r="L241" s="1007">
        <f t="shared" si="36"/>
        <v>14224433.98</v>
      </c>
      <c r="M241" s="1007">
        <f t="shared" si="37"/>
        <v>0</v>
      </c>
      <c r="N241" s="1007">
        <f t="shared" si="38"/>
        <v>14224433.98</v>
      </c>
      <c r="O241" s="1007">
        <f t="shared" si="39"/>
        <v>0</v>
      </c>
      <c r="P241" s="1007">
        <f t="shared" si="40"/>
        <v>0</v>
      </c>
      <c r="Q241" s="1207"/>
      <c r="R241" s="1202"/>
      <c r="S241" s="445">
        <v>2</v>
      </c>
      <c r="T241" s="991">
        <f t="shared" si="41"/>
        <v>0</v>
      </c>
      <c r="U241" s="1008">
        <v>12709016.68</v>
      </c>
    </row>
    <row r="242" spans="1:21" ht="15.75">
      <c r="A242" s="473">
        <v>234</v>
      </c>
      <c r="B242" s="819" t="s">
        <v>1394</v>
      </c>
      <c r="C242" s="819">
        <v>63300105</v>
      </c>
      <c r="D242" s="470">
        <v>2</v>
      </c>
      <c r="E242" s="819" t="s">
        <v>1314</v>
      </c>
      <c r="F242" s="473"/>
      <c r="G242" s="470"/>
      <c r="H242" s="470">
        <v>2</v>
      </c>
      <c r="I242" s="470"/>
      <c r="J242" s="470"/>
      <c r="K242" s="694">
        <v>2046681.15</v>
      </c>
      <c r="L242" s="1007">
        <f t="shared" si="36"/>
        <v>4093362.3</v>
      </c>
      <c r="M242" s="1007">
        <f t="shared" si="37"/>
        <v>0</v>
      </c>
      <c r="N242" s="1007">
        <f t="shared" si="38"/>
        <v>4093362.3</v>
      </c>
      <c r="O242" s="1007">
        <f t="shared" si="39"/>
        <v>0</v>
      </c>
      <c r="P242" s="1007">
        <f t="shared" si="40"/>
        <v>0</v>
      </c>
      <c r="Q242" s="1207"/>
      <c r="R242" s="1202"/>
      <c r="S242" s="445">
        <v>2</v>
      </c>
      <c r="T242" s="991">
        <f t="shared" si="41"/>
        <v>0</v>
      </c>
      <c r="U242" s="1008">
        <v>3657270.98</v>
      </c>
    </row>
    <row r="243" spans="1:21" ht="15.75">
      <c r="A243" s="473">
        <v>235</v>
      </c>
      <c r="B243" s="819" t="s">
        <v>1394</v>
      </c>
      <c r="C243" s="819">
        <v>63300116</v>
      </c>
      <c r="D243" s="470">
        <v>2</v>
      </c>
      <c r="E243" s="819" t="s">
        <v>1314</v>
      </c>
      <c r="F243" s="473"/>
      <c r="G243" s="470"/>
      <c r="H243" s="470">
        <v>2</v>
      </c>
      <c r="I243" s="470"/>
      <c r="J243" s="470"/>
      <c r="K243" s="694">
        <v>6267961.0099999998</v>
      </c>
      <c r="L243" s="1007">
        <f t="shared" si="36"/>
        <v>12535922.02</v>
      </c>
      <c r="M243" s="1007">
        <f t="shared" si="37"/>
        <v>0</v>
      </c>
      <c r="N243" s="1007">
        <f t="shared" si="38"/>
        <v>12535922.02</v>
      </c>
      <c r="O243" s="1007">
        <f t="shared" si="39"/>
        <v>0</v>
      </c>
      <c r="P243" s="1007">
        <f t="shared" si="40"/>
        <v>0</v>
      </c>
      <c r="Q243" s="1207"/>
      <c r="R243" s="1202"/>
      <c r="S243" s="445">
        <v>2</v>
      </c>
      <c r="T243" s="991">
        <f t="shared" si="41"/>
        <v>0</v>
      </c>
      <c r="U243" s="1008">
        <v>11200392.4</v>
      </c>
    </row>
    <row r="244" spans="1:21" ht="15.75">
      <c r="A244" s="473">
        <v>236</v>
      </c>
      <c r="B244" s="819" t="s">
        <v>1455</v>
      </c>
      <c r="C244" s="819">
        <v>63300292</v>
      </c>
      <c r="D244" s="470">
        <v>2</v>
      </c>
      <c r="E244" s="819" t="s">
        <v>1314</v>
      </c>
      <c r="F244" s="473"/>
      <c r="G244" s="470"/>
      <c r="H244" s="470">
        <v>2</v>
      </c>
      <c r="I244" s="470"/>
      <c r="J244" s="470"/>
      <c r="K244" s="694">
        <v>6549379.6699999999</v>
      </c>
      <c r="L244" s="1007">
        <f t="shared" si="36"/>
        <v>13098759.34</v>
      </c>
      <c r="M244" s="1007">
        <f t="shared" si="37"/>
        <v>0</v>
      </c>
      <c r="N244" s="1007">
        <f t="shared" si="38"/>
        <v>13098759.34</v>
      </c>
      <c r="O244" s="1007">
        <f t="shared" si="39"/>
        <v>0</v>
      </c>
      <c r="P244" s="1007">
        <f t="shared" si="40"/>
        <v>0</v>
      </c>
      <c r="Q244" s="1207"/>
      <c r="R244" s="1202"/>
      <c r="S244" s="445">
        <v>2</v>
      </c>
      <c r="T244" s="991">
        <f t="shared" si="41"/>
        <v>0</v>
      </c>
      <c r="U244" s="1008">
        <v>11272265.060000001</v>
      </c>
    </row>
    <row r="245" spans="1:21" ht="15.75">
      <c r="A245" s="473">
        <v>237</v>
      </c>
      <c r="B245" s="819" t="s">
        <v>1456</v>
      </c>
      <c r="C245" s="819">
        <v>63300291</v>
      </c>
      <c r="D245" s="470">
        <v>4</v>
      </c>
      <c r="E245" s="819" t="s">
        <v>1314</v>
      </c>
      <c r="F245" s="473"/>
      <c r="G245" s="470"/>
      <c r="H245" s="470">
        <v>2</v>
      </c>
      <c r="I245" s="470">
        <v>2</v>
      </c>
      <c r="J245" s="470"/>
      <c r="K245" s="694">
        <v>1918763.58</v>
      </c>
      <c r="L245" s="1007">
        <f t="shared" si="36"/>
        <v>7675054.3200000003</v>
      </c>
      <c r="M245" s="1007">
        <f t="shared" si="37"/>
        <v>0</v>
      </c>
      <c r="N245" s="1007">
        <f t="shared" si="38"/>
        <v>3837527.16</v>
      </c>
      <c r="O245" s="1007">
        <f t="shared" si="39"/>
        <v>3837527.16</v>
      </c>
      <c r="P245" s="1007">
        <f t="shared" si="40"/>
        <v>0</v>
      </c>
      <c r="Q245" s="1207"/>
      <c r="R245" s="1202"/>
      <c r="S245" s="445">
        <v>2</v>
      </c>
      <c r="T245" s="991">
        <f t="shared" si="41"/>
        <v>2</v>
      </c>
      <c r="U245" s="1008">
        <v>3302421.4</v>
      </c>
    </row>
    <row r="246" spans="1:21" ht="15.75">
      <c r="A246" s="473">
        <v>238</v>
      </c>
      <c r="B246" s="819" t="s">
        <v>1457</v>
      </c>
      <c r="C246" s="819">
        <v>63300290</v>
      </c>
      <c r="D246" s="470">
        <v>2</v>
      </c>
      <c r="E246" s="819" t="s">
        <v>1314</v>
      </c>
      <c r="F246" s="473"/>
      <c r="G246" s="470"/>
      <c r="H246" s="470">
        <v>2</v>
      </c>
      <c r="I246" s="470"/>
      <c r="J246" s="470"/>
      <c r="K246" s="694">
        <v>7291301.5899999999</v>
      </c>
      <c r="L246" s="1007">
        <f t="shared" si="36"/>
        <v>14582603.18</v>
      </c>
      <c r="M246" s="1007">
        <f t="shared" si="37"/>
        <v>0</v>
      </c>
      <c r="N246" s="1007">
        <f t="shared" si="38"/>
        <v>14582603.18</v>
      </c>
      <c r="O246" s="1007">
        <f t="shared" si="39"/>
        <v>0</v>
      </c>
      <c r="P246" s="1007">
        <f t="shared" si="40"/>
        <v>0</v>
      </c>
      <c r="Q246" s="1207"/>
      <c r="R246" s="1202"/>
      <c r="S246" s="445">
        <v>2</v>
      </c>
      <c r="T246" s="991">
        <f t="shared" si="41"/>
        <v>0</v>
      </c>
      <c r="U246" s="1008">
        <v>12549201.34</v>
      </c>
    </row>
    <row r="247" spans="1:21" ht="15.75">
      <c r="A247" s="473">
        <v>239</v>
      </c>
      <c r="B247" s="819" t="s">
        <v>1458</v>
      </c>
      <c r="C247" s="819">
        <v>63300234</v>
      </c>
      <c r="D247" s="470">
        <v>2</v>
      </c>
      <c r="E247" s="819" t="s">
        <v>1314</v>
      </c>
      <c r="F247" s="473"/>
      <c r="G247" s="470"/>
      <c r="H247" s="470">
        <v>1</v>
      </c>
      <c r="I247" s="470">
        <v>1</v>
      </c>
      <c r="J247" s="470"/>
      <c r="K247" s="694">
        <v>20108642.27</v>
      </c>
      <c r="L247" s="1007">
        <f t="shared" si="36"/>
        <v>40217284.539999999</v>
      </c>
      <c r="M247" s="1007">
        <f t="shared" si="37"/>
        <v>0</v>
      </c>
      <c r="N247" s="1007">
        <f t="shared" si="38"/>
        <v>20108642.27</v>
      </c>
      <c r="O247" s="1007">
        <f t="shared" si="39"/>
        <v>20108642.27</v>
      </c>
      <c r="P247" s="1007">
        <f t="shared" si="40"/>
        <v>0</v>
      </c>
      <c r="Q247" s="1207"/>
      <c r="R247" s="1202"/>
      <c r="S247" s="445">
        <v>1</v>
      </c>
      <c r="T247" s="991">
        <f t="shared" si="41"/>
        <v>1</v>
      </c>
      <c r="U247" s="1008">
        <v>17304688.170000002</v>
      </c>
    </row>
    <row r="248" spans="1:21" ht="15.75">
      <c r="A248" s="473">
        <v>240</v>
      </c>
      <c r="B248" s="819" t="s">
        <v>1325</v>
      </c>
      <c r="C248" s="819">
        <v>80801085</v>
      </c>
      <c r="D248" s="470">
        <v>2</v>
      </c>
      <c r="E248" s="819" t="s">
        <v>1314</v>
      </c>
      <c r="F248" s="473"/>
      <c r="G248" s="470"/>
      <c r="H248" s="470">
        <v>1</v>
      </c>
      <c r="I248" s="470">
        <v>1</v>
      </c>
      <c r="J248" s="470"/>
      <c r="K248" s="694">
        <v>46536412.579999998</v>
      </c>
      <c r="L248" s="1007">
        <f t="shared" si="36"/>
        <v>93072825.159999996</v>
      </c>
      <c r="M248" s="1007">
        <f t="shared" si="37"/>
        <v>0</v>
      </c>
      <c r="N248" s="1007">
        <f t="shared" si="38"/>
        <v>46536412.579999998</v>
      </c>
      <c r="O248" s="1007">
        <f t="shared" si="39"/>
        <v>46536412.579999998</v>
      </c>
      <c r="P248" s="1007">
        <f t="shared" si="40"/>
        <v>0</v>
      </c>
      <c r="Q248" s="1207"/>
      <c r="R248" s="1202"/>
      <c r="S248" s="445">
        <v>1</v>
      </c>
      <c r="T248" s="991">
        <f t="shared" si="41"/>
        <v>1</v>
      </c>
      <c r="U248" s="1008">
        <v>40047363</v>
      </c>
    </row>
    <row r="249" spans="1:21" ht="15.75">
      <c r="A249" s="473">
        <v>241</v>
      </c>
      <c r="B249" s="468" t="s">
        <v>1459</v>
      </c>
      <c r="C249" s="819">
        <v>80801084</v>
      </c>
      <c r="D249" s="470">
        <v>10</v>
      </c>
      <c r="E249" s="819" t="s">
        <v>1314</v>
      </c>
      <c r="F249" s="473"/>
      <c r="G249" s="470"/>
      <c r="H249" s="470">
        <v>5</v>
      </c>
      <c r="I249" s="470">
        <v>5</v>
      </c>
      <c r="J249" s="470"/>
      <c r="K249" s="694">
        <v>12945258.25</v>
      </c>
      <c r="L249" s="1007">
        <f t="shared" si="36"/>
        <v>129452582.5</v>
      </c>
      <c r="M249" s="1007">
        <f t="shared" si="37"/>
        <v>0</v>
      </c>
      <c r="N249" s="1007">
        <f t="shared" si="38"/>
        <v>64726291.25</v>
      </c>
      <c r="O249" s="1007">
        <f t="shared" si="39"/>
        <v>64726291.25</v>
      </c>
      <c r="P249" s="1007">
        <f t="shared" si="40"/>
        <v>0</v>
      </c>
      <c r="Q249" s="1207"/>
      <c r="R249" s="1202"/>
      <c r="S249" s="445">
        <v>5</v>
      </c>
      <c r="T249" s="991">
        <f t="shared" si="41"/>
        <v>5</v>
      </c>
      <c r="U249" s="1008">
        <v>55700841.049999997</v>
      </c>
    </row>
    <row r="250" spans="1:21" ht="15.75">
      <c r="A250" s="473">
        <v>242</v>
      </c>
      <c r="B250" s="468" t="s">
        <v>1460</v>
      </c>
      <c r="C250" s="819">
        <v>64000101</v>
      </c>
      <c r="D250" s="470">
        <v>10</v>
      </c>
      <c r="E250" s="819" t="s">
        <v>1314</v>
      </c>
      <c r="F250" s="819" t="s">
        <v>1991</v>
      </c>
      <c r="G250" s="470"/>
      <c r="H250" s="470">
        <v>5</v>
      </c>
      <c r="I250" s="470">
        <v>5</v>
      </c>
      <c r="J250" s="470"/>
      <c r="K250" s="694">
        <v>972173.54</v>
      </c>
      <c r="L250" s="1007">
        <f t="shared" si="36"/>
        <v>9721735.4000000004</v>
      </c>
      <c r="M250" s="1007">
        <f t="shared" si="37"/>
        <v>0</v>
      </c>
      <c r="N250" s="1007">
        <f t="shared" si="38"/>
        <v>4860867.7</v>
      </c>
      <c r="O250" s="1007">
        <f t="shared" si="39"/>
        <v>4860867.7</v>
      </c>
      <c r="P250" s="1007">
        <f t="shared" si="40"/>
        <v>0</v>
      </c>
      <c r="Q250" s="1207"/>
      <c r="R250" s="1202"/>
      <c r="S250" s="445">
        <v>5</v>
      </c>
      <c r="T250" s="991">
        <f t="shared" si="41"/>
        <v>5</v>
      </c>
      <c r="U250" s="1008">
        <v>4502951.45</v>
      </c>
    </row>
    <row r="251" spans="1:21" ht="15.75">
      <c r="A251" s="473">
        <v>243</v>
      </c>
      <c r="B251" s="468" t="s">
        <v>1461</v>
      </c>
      <c r="C251" s="819">
        <v>64000113</v>
      </c>
      <c r="D251" s="470">
        <v>5</v>
      </c>
      <c r="E251" s="819" t="s">
        <v>1314</v>
      </c>
      <c r="F251" s="473"/>
      <c r="G251" s="470"/>
      <c r="H251" s="470"/>
      <c r="I251" s="470">
        <v>5</v>
      </c>
      <c r="J251" s="470"/>
      <c r="K251" s="694">
        <v>1074507.6000000001</v>
      </c>
      <c r="L251" s="1007">
        <f t="shared" si="36"/>
        <v>5372538</v>
      </c>
      <c r="M251" s="1007">
        <f t="shared" si="37"/>
        <v>0</v>
      </c>
      <c r="N251" s="1007">
        <f t="shared" si="38"/>
        <v>0</v>
      </c>
      <c r="O251" s="1007">
        <f t="shared" si="39"/>
        <v>5372538</v>
      </c>
      <c r="P251" s="1007">
        <f t="shared" si="40"/>
        <v>0</v>
      </c>
      <c r="Q251" s="1207"/>
      <c r="R251" s="1202"/>
      <c r="S251" s="445"/>
      <c r="T251" s="991">
        <f t="shared" si="41"/>
        <v>5</v>
      </c>
      <c r="U251" s="1008"/>
    </row>
    <row r="252" spans="1:21" ht="15.75">
      <c r="A252" s="473">
        <v>244</v>
      </c>
      <c r="B252" s="468" t="s">
        <v>1462</v>
      </c>
      <c r="C252" s="465">
        <v>63500259</v>
      </c>
      <c r="D252" s="470">
        <v>2</v>
      </c>
      <c r="E252" s="819" t="s">
        <v>1314</v>
      </c>
      <c r="F252" s="473"/>
      <c r="G252" s="470"/>
      <c r="H252" s="470">
        <v>2</v>
      </c>
      <c r="I252" s="470"/>
      <c r="J252" s="470"/>
      <c r="K252" s="694">
        <v>15536299.73</v>
      </c>
      <c r="L252" s="1007">
        <f t="shared" si="36"/>
        <v>31072599.460000001</v>
      </c>
      <c r="M252" s="1007">
        <f t="shared" si="37"/>
        <v>0</v>
      </c>
      <c r="N252" s="1007">
        <f t="shared" si="38"/>
        <v>31072599.460000001</v>
      </c>
      <c r="O252" s="1007">
        <f t="shared" si="39"/>
        <v>0</v>
      </c>
      <c r="P252" s="1007">
        <f t="shared" si="40"/>
        <v>0</v>
      </c>
      <c r="Q252" s="1207"/>
      <c r="R252" s="1202"/>
      <c r="S252" s="445">
        <v>2</v>
      </c>
      <c r="T252" s="991">
        <f t="shared" si="41"/>
        <v>0</v>
      </c>
      <c r="U252" s="1008">
        <v>30829484.579999998</v>
      </c>
    </row>
    <row r="253" spans="1:21" ht="15.75">
      <c r="A253" s="473">
        <v>245</v>
      </c>
      <c r="B253" s="468" t="s">
        <v>1463</v>
      </c>
      <c r="C253" s="819">
        <v>63500260</v>
      </c>
      <c r="D253" s="470">
        <v>40</v>
      </c>
      <c r="E253" s="819" t="s">
        <v>1314</v>
      </c>
      <c r="F253" s="473"/>
      <c r="G253" s="470"/>
      <c r="H253" s="470">
        <v>20</v>
      </c>
      <c r="I253" s="470">
        <v>20</v>
      </c>
      <c r="J253" s="470"/>
      <c r="K253" s="694">
        <v>15536299.73</v>
      </c>
      <c r="L253" s="1007">
        <f t="shared" ref="L253:L286" si="42">K253*D253</f>
        <v>621451989.20000005</v>
      </c>
      <c r="M253" s="1007">
        <f t="shared" ref="M253:M308" si="43">K253*G253</f>
        <v>0</v>
      </c>
      <c r="N253" s="1007">
        <f t="shared" ref="N253:N286" si="44">K253*H253</f>
        <v>310725994.60000002</v>
      </c>
      <c r="O253" s="1007">
        <f t="shared" ref="O253:O286" si="45">K253*I253</f>
        <v>310725994.60000002</v>
      </c>
      <c r="P253" s="1007">
        <f t="shared" ref="P253:P286" si="46">K253*J253</f>
        <v>0</v>
      </c>
      <c r="Q253" s="1207"/>
      <c r="R253" s="1202"/>
      <c r="S253" s="445">
        <v>20</v>
      </c>
      <c r="T253" s="991">
        <f t="shared" si="41"/>
        <v>20</v>
      </c>
      <c r="U253" s="1008">
        <v>308294845.80000001</v>
      </c>
    </row>
    <row r="254" spans="1:21" ht="15.75">
      <c r="A254" s="473">
        <v>246</v>
      </c>
      <c r="B254" s="468" t="s">
        <v>1464</v>
      </c>
      <c r="C254" s="819">
        <v>63500261</v>
      </c>
      <c r="D254" s="470">
        <v>40</v>
      </c>
      <c r="E254" s="819" t="s">
        <v>1314</v>
      </c>
      <c r="F254" s="473"/>
      <c r="G254" s="470"/>
      <c r="H254" s="470">
        <v>20</v>
      </c>
      <c r="I254" s="470">
        <v>20</v>
      </c>
      <c r="J254" s="470"/>
      <c r="K254" s="694">
        <v>15536299.73</v>
      </c>
      <c r="L254" s="1007">
        <f t="shared" si="42"/>
        <v>621451989.20000005</v>
      </c>
      <c r="M254" s="1007">
        <f t="shared" si="43"/>
        <v>0</v>
      </c>
      <c r="N254" s="1007">
        <f t="shared" si="44"/>
        <v>310725994.60000002</v>
      </c>
      <c r="O254" s="1007">
        <f t="shared" si="45"/>
        <v>310725994.60000002</v>
      </c>
      <c r="P254" s="1007">
        <f t="shared" si="46"/>
        <v>0</v>
      </c>
      <c r="Q254" s="1207"/>
      <c r="R254" s="1202"/>
      <c r="S254" s="445">
        <v>20</v>
      </c>
      <c r="T254" s="991">
        <f t="shared" si="41"/>
        <v>20</v>
      </c>
      <c r="U254" s="1008">
        <v>308294845.80000001</v>
      </c>
    </row>
    <row r="255" spans="1:21" ht="15.75">
      <c r="A255" s="473">
        <v>247</v>
      </c>
      <c r="B255" s="468" t="s">
        <v>1465</v>
      </c>
      <c r="C255" s="819">
        <v>63500300</v>
      </c>
      <c r="D255" s="470">
        <v>2</v>
      </c>
      <c r="E255" s="819" t="s">
        <v>1314</v>
      </c>
      <c r="F255" s="473"/>
      <c r="G255" s="470"/>
      <c r="H255" s="470">
        <v>2</v>
      </c>
      <c r="I255" s="470"/>
      <c r="J255" s="470"/>
      <c r="K255" s="694">
        <v>1304759.23</v>
      </c>
      <c r="L255" s="1007">
        <f t="shared" si="42"/>
        <v>2609518.46</v>
      </c>
      <c r="M255" s="1007">
        <f t="shared" si="43"/>
        <v>0</v>
      </c>
      <c r="N255" s="1007">
        <f t="shared" si="44"/>
        <v>2609518.46</v>
      </c>
      <c r="O255" s="1007">
        <f t="shared" si="45"/>
        <v>0</v>
      </c>
      <c r="P255" s="1007">
        <f t="shared" si="46"/>
        <v>0</v>
      </c>
      <c r="Q255" s="1207"/>
      <c r="R255" s="1202"/>
      <c r="S255" s="445">
        <v>2</v>
      </c>
      <c r="T255" s="991">
        <f t="shared" si="41"/>
        <v>0</v>
      </c>
      <c r="U255" s="1008">
        <v>2138832.2599999998</v>
      </c>
    </row>
    <row r="256" spans="1:21" ht="15.75">
      <c r="A256" s="473">
        <v>248</v>
      </c>
      <c r="B256" s="468" t="s">
        <v>1466</v>
      </c>
      <c r="C256" s="819">
        <v>63500301</v>
      </c>
      <c r="D256" s="470">
        <v>20</v>
      </c>
      <c r="E256" s="819" t="s">
        <v>1314</v>
      </c>
      <c r="F256" s="473"/>
      <c r="G256" s="470"/>
      <c r="H256" s="470">
        <v>10</v>
      </c>
      <c r="I256" s="470">
        <v>10</v>
      </c>
      <c r="J256" s="470"/>
      <c r="K256" s="694">
        <v>1328921.44</v>
      </c>
      <c r="L256" s="1007">
        <f t="shared" si="42"/>
        <v>26578428.799999997</v>
      </c>
      <c r="M256" s="1007">
        <f t="shared" si="43"/>
        <v>0</v>
      </c>
      <c r="N256" s="1007">
        <f t="shared" si="44"/>
        <v>13289214.399999999</v>
      </c>
      <c r="O256" s="1007">
        <f t="shared" si="45"/>
        <v>13289214.399999999</v>
      </c>
      <c r="P256" s="1007">
        <f t="shared" si="46"/>
        <v>0</v>
      </c>
      <c r="Q256" s="1207"/>
      <c r="R256" s="1202"/>
      <c r="S256" s="445">
        <v>10</v>
      </c>
      <c r="T256" s="991">
        <f t="shared" si="41"/>
        <v>10</v>
      </c>
      <c r="U256" s="1008">
        <v>11436163</v>
      </c>
    </row>
    <row r="257" spans="1:21" ht="15.75">
      <c r="A257" s="473">
        <v>249</v>
      </c>
      <c r="B257" s="468" t="s">
        <v>1467</v>
      </c>
      <c r="C257" s="819">
        <v>63500304</v>
      </c>
      <c r="D257" s="470">
        <v>10</v>
      </c>
      <c r="E257" s="819" t="s">
        <v>1314</v>
      </c>
      <c r="F257" s="473"/>
      <c r="G257" s="470"/>
      <c r="H257" s="470">
        <v>5</v>
      </c>
      <c r="I257" s="470">
        <v>5</v>
      </c>
      <c r="J257" s="470"/>
      <c r="K257" s="694">
        <v>1304759.23</v>
      </c>
      <c r="L257" s="1007">
        <f t="shared" si="42"/>
        <v>13047592.300000001</v>
      </c>
      <c r="M257" s="1007">
        <f t="shared" si="43"/>
        <v>0</v>
      </c>
      <c r="N257" s="1007">
        <f t="shared" si="44"/>
        <v>6523796.1500000004</v>
      </c>
      <c r="O257" s="1007">
        <f t="shared" si="45"/>
        <v>6523796.1500000004</v>
      </c>
      <c r="P257" s="1007">
        <f t="shared" si="46"/>
        <v>0</v>
      </c>
      <c r="Q257" s="1207"/>
      <c r="R257" s="1202"/>
      <c r="S257" s="445">
        <v>5</v>
      </c>
      <c r="T257" s="991">
        <f t="shared" si="41"/>
        <v>5</v>
      </c>
      <c r="U257" s="1008">
        <v>5614116.3499999996</v>
      </c>
    </row>
    <row r="258" spans="1:21" ht="15.75">
      <c r="A258" s="473">
        <v>250</v>
      </c>
      <c r="B258" s="468" t="s">
        <v>1468</v>
      </c>
      <c r="C258" s="819">
        <v>63500214</v>
      </c>
      <c r="D258" s="470">
        <v>2</v>
      </c>
      <c r="E258" s="819" t="s">
        <v>1314</v>
      </c>
      <c r="F258" s="473"/>
      <c r="G258" s="470"/>
      <c r="H258" s="470">
        <v>2</v>
      </c>
      <c r="I258" s="470"/>
      <c r="J258" s="470"/>
      <c r="K258" s="694">
        <v>15802084.02</v>
      </c>
      <c r="L258" s="1007">
        <f t="shared" si="42"/>
        <v>31604168.039999999</v>
      </c>
      <c r="M258" s="1007">
        <f t="shared" si="43"/>
        <v>0</v>
      </c>
      <c r="N258" s="1007">
        <f t="shared" si="44"/>
        <v>31604168.039999999</v>
      </c>
      <c r="O258" s="1007">
        <f t="shared" si="45"/>
        <v>0</v>
      </c>
      <c r="P258" s="1007">
        <f t="shared" si="46"/>
        <v>0</v>
      </c>
      <c r="Q258" s="1207"/>
      <c r="R258" s="1202"/>
      <c r="S258" s="445">
        <v>2</v>
      </c>
      <c r="T258" s="991">
        <f t="shared" si="41"/>
        <v>0</v>
      </c>
      <c r="U258" s="1008">
        <v>31356894.100000001</v>
      </c>
    </row>
    <row r="259" spans="1:21" ht="15.75">
      <c r="A259" s="473">
        <v>251</v>
      </c>
      <c r="B259" s="468" t="s">
        <v>1469</v>
      </c>
      <c r="C259" s="819">
        <v>63500215</v>
      </c>
      <c r="D259" s="470">
        <v>20</v>
      </c>
      <c r="E259" s="819" t="s">
        <v>1314</v>
      </c>
      <c r="F259" s="473"/>
      <c r="G259" s="470"/>
      <c r="H259" s="470">
        <v>10</v>
      </c>
      <c r="I259" s="470">
        <v>10</v>
      </c>
      <c r="J259" s="470"/>
      <c r="K259" s="694">
        <v>15802084.02</v>
      </c>
      <c r="L259" s="1007">
        <f t="shared" si="42"/>
        <v>316041680.39999998</v>
      </c>
      <c r="M259" s="1007">
        <f t="shared" si="43"/>
        <v>0</v>
      </c>
      <c r="N259" s="1007">
        <f t="shared" si="44"/>
        <v>158020840.19999999</v>
      </c>
      <c r="O259" s="1007">
        <f t="shared" si="45"/>
        <v>158020840.19999999</v>
      </c>
      <c r="P259" s="1007">
        <f t="shared" si="46"/>
        <v>0</v>
      </c>
      <c r="Q259" s="1207"/>
      <c r="R259" s="1202"/>
      <c r="S259" s="445">
        <v>10</v>
      </c>
      <c r="T259" s="991">
        <f t="shared" si="41"/>
        <v>10</v>
      </c>
      <c r="U259" s="1008">
        <v>156784470.5</v>
      </c>
    </row>
    <row r="260" spans="1:21" ht="15.75">
      <c r="A260" s="473">
        <v>252</v>
      </c>
      <c r="B260" s="468" t="s">
        <v>1470</v>
      </c>
      <c r="C260" s="819">
        <v>63500216</v>
      </c>
      <c r="D260" s="470">
        <v>10</v>
      </c>
      <c r="E260" s="819" t="s">
        <v>1314</v>
      </c>
      <c r="F260" s="473"/>
      <c r="G260" s="470"/>
      <c r="H260" s="470">
        <v>5</v>
      </c>
      <c r="I260" s="470">
        <v>5</v>
      </c>
      <c r="J260" s="470"/>
      <c r="K260" s="694">
        <v>15802084.02</v>
      </c>
      <c r="L260" s="1007">
        <f t="shared" si="42"/>
        <v>158020840.19999999</v>
      </c>
      <c r="M260" s="1007">
        <f t="shared" si="43"/>
        <v>0</v>
      </c>
      <c r="N260" s="1007">
        <f t="shared" si="44"/>
        <v>79010420.099999994</v>
      </c>
      <c r="O260" s="1007">
        <f t="shared" si="45"/>
        <v>79010420.099999994</v>
      </c>
      <c r="P260" s="1007">
        <f t="shared" si="46"/>
        <v>0</v>
      </c>
      <c r="Q260" s="1207"/>
      <c r="R260" s="1202"/>
      <c r="S260" s="445">
        <v>5</v>
      </c>
      <c r="T260" s="991">
        <f t="shared" si="41"/>
        <v>5</v>
      </c>
      <c r="U260" s="1008">
        <v>78392235.25</v>
      </c>
    </row>
    <row r="261" spans="1:21" ht="15.75">
      <c r="A261" s="473">
        <v>253</v>
      </c>
      <c r="B261" s="468" t="s">
        <v>1471</v>
      </c>
      <c r="C261" s="819">
        <v>63500307</v>
      </c>
      <c r="D261" s="470">
        <v>2</v>
      </c>
      <c r="E261" s="819" t="s">
        <v>1314</v>
      </c>
      <c r="F261" s="473"/>
      <c r="G261" s="470"/>
      <c r="H261" s="470">
        <v>2</v>
      </c>
      <c r="I261" s="470"/>
      <c r="J261" s="470"/>
      <c r="K261" s="694">
        <v>1425570.27</v>
      </c>
      <c r="L261" s="1007">
        <f t="shared" si="42"/>
        <v>2851140.54</v>
      </c>
      <c r="M261" s="1007">
        <f t="shared" si="43"/>
        <v>0</v>
      </c>
      <c r="N261" s="1007">
        <f t="shared" si="44"/>
        <v>2851140.54</v>
      </c>
      <c r="O261" s="1007">
        <f t="shared" si="45"/>
        <v>0</v>
      </c>
      <c r="P261" s="1007">
        <f t="shared" si="46"/>
        <v>0</v>
      </c>
      <c r="Q261" s="1207"/>
      <c r="R261" s="1202"/>
      <c r="S261" s="445">
        <v>2</v>
      </c>
      <c r="T261" s="991">
        <f t="shared" si="41"/>
        <v>0</v>
      </c>
      <c r="U261" s="1008">
        <v>2294383.7200000002</v>
      </c>
    </row>
    <row r="262" spans="1:21" ht="15.75">
      <c r="A262" s="473">
        <v>254</v>
      </c>
      <c r="B262" s="468" t="s">
        <v>1472</v>
      </c>
      <c r="C262" s="819">
        <v>63500302</v>
      </c>
      <c r="D262" s="470">
        <v>38</v>
      </c>
      <c r="E262" s="819" t="s">
        <v>1314</v>
      </c>
      <c r="F262" s="473"/>
      <c r="G262" s="470"/>
      <c r="H262" s="470">
        <v>19</v>
      </c>
      <c r="I262" s="470">
        <v>19</v>
      </c>
      <c r="J262" s="470"/>
      <c r="K262" s="694">
        <v>1304759.23</v>
      </c>
      <c r="L262" s="1007">
        <f t="shared" si="42"/>
        <v>49580850.740000002</v>
      </c>
      <c r="M262" s="1007">
        <f t="shared" si="43"/>
        <v>0</v>
      </c>
      <c r="N262" s="1007">
        <f t="shared" si="44"/>
        <v>24790425.370000001</v>
      </c>
      <c r="O262" s="1007">
        <f t="shared" si="45"/>
        <v>24790425.370000001</v>
      </c>
      <c r="P262" s="1007">
        <f t="shared" si="46"/>
        <v>0</v>
      </c>
      <c r="Q262" s="1207"/>
      <c r="R262" s="1202"/>
      <c r="S262" s="445">
        <v>19</v>
      </c>
      <c r="T262" s="991">
        <f t="shared" si="41"/>
        <v>19</v>
      </c>
      <c r="U262" s="1008">
        <v>21333642.129999999</v>
      </c>
    </row>
    <row r="263" spans="1:21" ht="15.75">
      <c r="A263" s="473">
        <v>255</v>
      </c>
      <c r="B263" s="468" t="s">
        <v>1473</v>
      </c>
      <c r="C263" s="819">
        <v>63500303</v>
      </c>
      <c r="D263" s="470">
        <v>38</v>
      </c>
      <c r="E263" s="819" t="s">
        <v>1314</v>
      </c>
      <c r="F263" s="473"/>
      <c r="G263" s="470"/>
      <c r="H263" s="470">
        <v>19</v>
      </c>
      <c r="I263" s="470">
        <v>19</v>
      </c>
      <c r="J263" s="470"/>
      <c r="K263" s="694">
        <v>1304759.23</v>
      </c>
      <c r="L263" s="1007">
        <f t="shared" si="42"/>
        <v>49580850.740000002</v>
      </c>
      <c r="M263" s="1007">
        <f t="shared" si="43"/>
        <v>0</v>
      </c>
      <c r="N263" s="1007">
        <f t="shared" si="44"/>
        <v>24790425.370000001</v>
      </c>
      <c r="O263" s="1007">
        <f t="shared" si="45"/>
        <v>24790425.370000001</v>
      </c>
      <c r="P263" s="1007">
        <f t="shared" si="46"/>
        <v>0</v>
      </c>
      <c r="Q263" s="1207"/>
      <c r="R263" s="1202"/>
      <c r="S263" s="445">
        <v>19</v>
      </c>
      <c r="T263" s="991">
        <f t="shared" si="41"/>
        <v>19</v>
      </c>
      <c r="U263" s="1008">
        <v>21333642.129999999</v>
      </c>
    </row>
    <row r="264" spans="1:21" ht="15.75">
      <c r="A264" s="473">
        <v>256</v>
      </c>
      <c r="B264" s="819" t="s">
        <v>1474</v>
      </c>
      <c r="C264" s="819">
        <v>64000114</v>
      </c>
      <c r="D264" s="470">
        <v>40</v>
      </c>
      <c r="E264" s="819" t="s">
        <v>1314</v>
      </c>
      <c r="F264" s="473"/>
      <c r="G264" s="470"/>
      <c r="H264" s="470">
        <v>20</v>
      </c>
      <c r="I264" s="470">
        <v>20</v>
      </c>
      <c r="J264" s="470"/>
      <c r="K264" s="694">
        <v>2149015.2000000002</v>
      </c>
      <c r="L264" s="1007" t="s">
        <v>3047</v>
      </c>
      <c r="M264" s="1007" t="s">
        <v>3047</v>
      </c>
      <c r="N264" s="1007" t="s">
        <v>3047</v>
      </c>
      <c r="O264" s="1007" t="s">
        <v>3047</v>
      </c>
      <c r="P264" s="1007" t="s">
        <v>3047</v>
      </c>
      <c r="Q264" s="1207"/>
      <c r="R264" s="1202"/>
      <c r="S264" s="445">
        <v>20</v>
      </c>
      <c r="T264" s="991">
        <f t="shared" si="41"/>
        <v>20</v>
      </c>
      <c r="U264" s="1008">
        <v>36987119.600000001</v>
      </c>
    </row>
    <row r="265" spans="1:21" ht="15.75">
      <c r="A265" s="473">
        <v>257</v>
      </c>
      <c r="B265" s="819" t="s">
        <v>1474</v>
      </c>
      <c r="C265" s="819">
        <v>64000108</v>
      </c>
      <c r="D265" s="470">
        <v>40</v>
      </c>
      <c r="E265" s="819" t="s">
        <v>1314</v>
      </c>
      <c r="F265" s="473"/>
      <c r="G265" s="470"/>
      <c r="H265" s="470">
        <v>20</v>
      </c>
      <c r="I265" s="470">
        <v>20</v>
      </c>
      <c r="J265" s="470"/>
      <c r="K265" s="694">
        <v>4246863.38</v>
      </c>
      <c r="L265" s="1007">
        <f t="shared" si="42"/>
        <v>169874535.19999999</v>
      </c>
      <c r="M265" s="1007">
        <f t="shared" si="43"/>
        <v>0</v>
      </c>
      <c r="N265" s="1007">
        <f t="shared" si="44"/>
        <v>84937267.599999994</v>
      </c>
      <c r="O265" s="1007">
        <f t="shared" si="45"/>
        <v>84937267.599999994</v>
      </c>
      <c r="P265" s="1007">
        <f t="shared" si="46"/>
        <v>0</v>
      </c>
      <c r="Q265" s="1207"/>
      <c r="R265" s="1202"/>
      <c r="S265" s="445">
        <v>20</v>
      </c>
      <c r="T265" s="991">
        <f t="shared" si="41"/>
        <v>20</v>
      </c>
      <c r="U265" s="1008">
        <v>73093593.799999997</v>
      </c>
    </row>
    <row r="266" spans="1:21" ht="15.75">
      <c r="A266" s="473">
        <v>258</v>
      </c>
      <c r="B266" s="819" t="s">
        <v>1475</v>
      </c>
      <c r="C266" s="819">
        <v>64000102</v>
      </c>
      <c r="D266" s="470">
        <v>10</v>
      </c>
      <c r="E266" s="819" t="s">
        <v>1314</v>
      </c>
      <c r="F266" s="473"/>
      <c r="G266" s="470"/>
      <c r="H266" s="470">
        <v>5</v>
      </c>
      <c r="I266" s="470">
        <v>5</v>
      </c>
      <c r="J266" s="470"/>
      <c r="K266" s="694">
        <v>2149015.2000000002</v>
      </c>
      <c r="L266" s="1007">
        <f t="shared" si="42"/>
        <v>21490152</v>
      </c>
      <c r="M266" s="1007">
        <f t="shared" si="43"/>
        <v>0</v>
      </c>
      <c r="N266" s="1007">
        <f t="shared" si="44"/>
        <v>10745076</v>
      </c>
      <c r="O266" s="1007">
        <f t="shared" si="45"/>
        <v>10745076</v>
      </c>
      <c r="P266" s="1007">
        <f t="shared" si="46"/>
        <v>0</v>
      </c>
      <c r="Q266" s="1207"/>
      <c r="R266" s="1202"/>
      <c r="S266" s="445">
        <v>5</v>
      </c>
      <c r="T266" s="991">
        <f t="shared" si="41"/>
        <v>5</v>
      </c>
      <c r="U266" s="1008">
        <v>9246779.9000000004</v>
      </c>
    </row>
    <row r="267" spans="1:21" ht="15.75">
      <c r="A267" s="473">
        <v>259</v>
      </c>
      <c r="B267" s="819" t="s">
        <v>1476</v>
      </c>
      <c r="C267" s="465">
        <v>63400136</v>
      </c>
      <c r="D267" s="470">
        <v>80</v>
      </c>
      <c r="E267" s="819" t="s">
        <v>1314</v>
      </c>
      <c r="F267" s="473"/>
      <c r="G267" s="470"/>
      <c r="H267" s="470">
        <v>80</v>
      </c>
      <c r="I267" s="470"/>
      <c r="J267" s="470"/>
      <c r="K267" s="694">
        <v>142414.9</v>
      </c>
      <c r="L267" s="1007">
        <f t="shared" si="42"/>
        <v>11393192</v>
      </c>
      <c r="M267" s="1007">
        <f t="shared" si="43"/>
        <v>0</v>
      </c>
      <c r="N267" s="1007">
        <f t="shared" si="44"/>
        <v>11393192</v>
      </c>
      <c r="O267" s="1007">
        <f t="shared" si="45"/>
        <v>0</v>
      </c>
      <c r="P267" s="1007">
        <f t="shared" si="46"/>
        <v>0</v>
      </c>
      <c r="Q267" s="1207"/>
      <c r="R267" s="1202"/>
      <c r="S267" s="445">
        <v>80</v>
      </c>
      <c r="T267" s="991">
        <f t="shared" si="41"/>
        <v>0</v>
      </c>
      <c r="U267" s="1008">
        <v>9168384.8000000007</v>
      </c>
    </row>
    <row r="268" spans="1:21" ht="15.75">
      <c r="A268" s="473">
        <v>260</v>
      </c>
      <c r="B268" s="819" t="s">
        <v>867</v>
      </c>
      <c r="C268" s="465">
        <v>63400124</v>
      </c>
      <c r="D268" s="470">
        <v>80</v>
      </c>
      <c r="E268" s="819" t="s">
        <v>1314</v>
      </c>
      <c r="F268" s="473"/>
      <c r="G268" s="470"/>
      <c r="H268" s="470">
        <v>80</v>
      </c>
      <c r="I268" s="470"/>
      <c r="J268" s="470"/>
      <c r="K268" s="694">
        <v>562837.31999999995</v>
      </c>
      <c r="L268" s="1007">
        <f t="shared" si="42"/>
        <v>45026985.599999994</v>
      </c>
      <c r="M268" s="1007">
        <f t="shared" si="43"/>
        <v>0</v>
      </c>
      <c r="N268" s="1007">
        <f t="shared" si="44"/>
        <v>45026985.599999994</v>
      </c>
      <c r="O268" s="1007">
        <f t="shared" si="45"/>
        <v>0</v>
      </c>
      <c r="P268" s="1007">
        <f t="shared" si="46"/>
        <v>0</v>
      </c>
      <c r="Q268" s="1207"/>
      <c r="R268" s="1202"/>
      <c r="S268" s="445">
        <v>80</v>
      </c>
      <c r="T268" s="991">
        <f t="shared" si="41"/>
        <v>0</v>
      </c>
      <c r="U268" s="1008">
        <v>36234334.399999999</v>
      </c>
    </row>
    <row r="269" spans="1:21" ht="15.75">
      <c r="A269" s="473">
        <v>261</v>
      </c>
      <c r="B269" s="819" t="s">
        <v>1359</v>
      </c>
      <c r="C269" s="465">
        <v>63400138</v>
      </c>
      <c r="D269" s="470">
        <v>60</v>
      </c>
      <c r="E269" s="819" t="s">
        <v>1314</v>
      </c>
      <c r="F269" s="473"/>
      <c r="G269" s="470"/>
      <c r="H269" s="470">
        <v>30</v>
      </c>
      <c r="I269" s="470">
        <v>30</v>
      </c>
      <c r="J269" s="470"/>
      <c r="K269" s="694">
        <v>741921.92</v>
      </c>
      <c r="L269" s="1007">
        <f t="shared" si="42"/>
        <v>44515315.200000003</v>
      </c>
      <c r="M269" s="1007">
        <f t="shared" si="43"/>
        <v>0</v>
      </c>
      <c r="N269" s="1007">
        <f t="shared" si="44"/>
        <v>22257657.600000001</v>
      </c>
      <c r="O269" s="1007">
        <f t="shared" si="45"/>
        <v>22257657.600000001</v>
      </c>
      <c r="P269" s="1007">
        <f t="shared" si="46"/>
        <v>0</v>
      </c>
      <c r="Q269" s="1207"/>
      <c r="R269" s="1202"/>
      <c r="S269" s="445">
        <v>30</v>
      </c>
      <c r="T269" s="991">
        <f t="shared" si="41"/>
        <v>30</v>
      </c>
      <c r="U269" s="1008">
        <v>17911290.600000001</v>
      </c>
    </row>
    <row r="270" spans="1:21" ht="15.75">
      <c r="A270" s="473">
        <v>262</v>
      </c>
      <c r="B270" s="819" t="s">
        <v>1359</v>
      </c>
      <c r="C270" s="465">
        <v>63400139</v>
      </c>
      <c r="D270" s="470">
        <v>20</v>
      </c>
      <c r="E270" s="819" t="s">
        <v>1314</v>
      </c>
      <c r="F270" s="473"/>
      <c r="G270" s="470"/>
      <c r="H270" s="470">
        <v>20</v>
      </c>
      <c r="I270" s="470"/>
      <c r="J270" s="470"/>
      <c r="K270" s="694">
        <v>690754.89</v>
      </c>
      <c r="L270" s="1007">
        <f t="shared" si="42"/>
        <v>13815097.800000001</v>
      </c>
      <c r="M270" s="1007">
        <f t="shared" si="43"/>
        <v>0</v>
      </c>
      <c r="N270" s="1007">
        <f t="shared" si="44"/>
        <v>13815097.800000001</v>
      </c>
      <c r="O270" s="1007">
        <f t="shared" si="45"/>
        <v>0</v>
      </c>
      <c r="P270" s="1007">
        <f t="shared" si="46"/>
        <v>0</v>
      </c>
      <c r="Q270" s="1207"/>
      <c r="R270" s="1202"/>
      <c r="S270" s="445">
        <v>20</v>
      </c>
      <c r="T270" s="991">
        <f t="shared" si="41"/>
        <v>0</v>
      </c>
      <c r="U270" s="1008">
        <v>11117352.800000001</v>
      </c>
    </row>
    <row r="271" spans="1:21" ht="15.75">
      <c r="A271" s="473">
        <v>263</v>
      </c>
      <c r="B271" s="819" t="s">
        <v>1359</v>
      </c>
      <c r="C271" s="465">
        <v>63400140</v>
      </c>
      <c r="D271" s="470">
        <v>20</v>
      </c>
      <c r="E271" s="819" t="s">
        <v>1314</v>
      </c>
      <c r="F271" s="473"/>
      <c r="G271" s="470"/>
      <c r="H271" s="470">
        <v>20</v>
      </c>
      <c r="I271" s="470"/>
      <c r="J271" s="470"/>
      <c r="K271" s="694">
        <v>307002.17</v>
      </c>
      <c r="L271" s="1007">
        <f t="shared" si="42"/>
        <v>6140043.3999999994</v>
      </c>
      <c r="M271" s="1007">
        <f t="shared" si="43"/>
        <v>0</v>
      </c>
      <c r="N271" s="1007">
        <f t="shared" si="44"/>
        <v>6140043.3999999994</v>
      </c>
      <c r="O271" s="1007">
        <f t="shared" si="45"/>
        <v>0</v>
      </c>
      <c r="P271" s="1007">
        <f t="shared" si="46"/>
        <v>0</v>
      </c>
      <c r="Q271" s="1207"/>
      <c r="R271" s="1202"/>
      <c r="S271" s="445">
        <v>20</v>
      </c>
      <c r="T271" s="991">
        <f t="shared" si="41"/>
        <v>0</v>
      </c>
      <c r="U271" s="1008">
        <v>4942045.5999999996</v>
      </c>
    </row>
    <row r="272" spans="1:21" ht="15.75">
      <c r="A272" s="473">
        <v>264</v>
      </c>
      <c r="B272" s="819" t="s">
        <v>1410</v>
      </c>
      <c r="C272" s="465">
        <v>65100185</v>
      </c>
      <c r="D272" s="470">
        <v>5</v>
      </c>
      <c r="E272" s="819" t="s">
        <v>1314</v>
      </c>
      <c r="F272" s="473"/>
      <c r="G272" s="470"/>
      <c r="H272" s="470">
        <v>3</v>
      </c>
      <c r="I272" s="470">
        <v>2</v>
      </c>
      <c r="J272" s="470"/>
      <c r="K272" s="694">
        <v>25583514.34</v>
      </c>
      <c r="L272" s="1007">
        <f t="shared" si="42"/>
        <v>127917571.7</v>
      </c>
      <c r="M272" s="1007">
        <f t="shared" si="43"/>
        <v>0</v>
      </c>
      <c r="N272" s="1007">
        <f t="shared" si="44"/>
        <v>76750543.019999996</v>
      </c>
      <c r="O272" s="1007">
        <f t="shared" si="45"/>
        <v>51167028.68</v>
      </c>
      <c r="P272" s="1007">
        <f t="shared" si="46"/>
        <v>0</v>
      </c>
      <c r="Q272" s="1207"/>
      <c r="R272" s="1202"/>
      <c r="S272" s="445">
        <v>3</v>
      </c>
      <c r="T272" s="991">
        <f t="shared" si="41"/>
        <v>2</v>
      </c>
      <c r="U272" s="1008">
        <v>61763071.109999999</v>
      </c>
    </row>
    <row r="273" spans="1:21" ht="15.75">
      <c r="A273" s="473">
        <v>265</v>
      </c>
      <c r="B273" s="819" t="s">
        <v>1477</v>
      </c>
      <c r="C273" s="465">
        <v>88169108</v>
      </c>
      <c r="D273" s="470">
        <v>10</v>
      </c>
      <c r="E273" s="819" t="s">
        <v>1314</v>
      </c>
      <c r="F273" s="473"/>
      <c r="G273" s="470"/>
      <c r="H273" s="470">
        <v>10</v>
      </c>
      <c r="I273" s="470"/>
      <c r="J273" s="470"/>
      <c r="K273" s="694">
        <v>716338.4</v>
      </c>
      <c r="L273" s="1007">
        <f t="shared" si="42"/>
        <v>7163384</v>
      </c>
      <c r="M273" s="1007">
        <f t="shared" si="43"/>
        <v>0</v>
      </c>
      <c r="N273" s="1007">
        <f t="shared" si="44"/>
        <v>7163384</v>
      </c>
      <c r="O273" s="1007">
        <f t="shared" si="45"/>
        <v>0</v>
      </c>
      <c r="P273" s="1007">
        <f t="shared" si="46"/>
        <v>0</v>
      </c>
      <c r="Q273" s="1207"/>
      <c r="R273" s="1202"/>
      <c r="S273" s="445">
        <v>10</v>
      </c>
      <c r="T273" s="991">
        <f t="shared" si="41"/>
        <v>0</v>
      </c>
      <c r="U273" s="1008">
        <v>5764553.2999999998</v>
      </c>
    </row>
    <row r="274" spans="1:21" ht="15.75">
      <c r="A274" s="473">
        <v>266</v>
      </c>
      <c r="B274" s="819" t="s">
        <v>1359</v>
      </c>
      <c r="C274" s="465">
        <v>63400141</v>
      </c>
      <c r="D274" s="470">
        <v>10</v>
      </c>
      <c r="E274" s="819" t="s">
        <v>1314</v>
      </c>
      <c r="F274" s="473"/>
      <c r="G274" s="470"/>
      <c r="H274" s="470">
        <v>10</v>
      </c>
      <c r="I274" s="470"/>
      <c r="J274" s="470"/>
      <c r="K274" s="694">
        <v>409336.23</v>
      </c>
      <c r="L274" s="1007">
        <f t="shared" si="42"/>
        <v>4093362.3</v>
      </c>
      <c r="M274" s="1007">
        <f t="shared" si="43"/>
        <v>0</v>
      </c>
      <c r="N274" s="1007">
        <f t="shared" si="44"/>
        <v>4093362.3</v>
      </c>
      <c r="O274" s="1007">
        <f t="shared" si="45"/>
        <v>0</v>
      </c>
      <c r="P274" s="1007">
        <f t="shared" si="46"/>
        <v>0</v>
      </c>
      <c r="Q274" s="1207"/>
      <c r="R274" s="1202"/>
      <c r="S274" s="445">
        <v>10</v>
      </c>
      <c r="T274" s="991">
        <f t="shared" si="41"/>
        <v>0</v>
      </c>
      <c r="U274" s="1008">
        <v>3294030.5</v>
      </c>
    </row>
    <row r="275" spans="1:21" ht="15.75">
      <c r="A275" s="473">
        <v>267</v>
      </c>
      <c r="B275" s="819" t="s">
        <v>1478</v>
      </c>
      <c r="C275" s="465">
        <v>64200110</v>
      </c>
      <c r="D275" s="470">
        <v>5</v>
      </c>
      <c r="E275" s="819" t="s">
        <v>1314</v>
      </c>
      <c r="F275" s="473"/>
      <c r="G275" s="470"/>
      <c r="H275" s="470">
        <v>5</v>
      </c>
      <c r="I275" s="470"/>
      <c r="J275" s="470"/>
      <c r="K275" s="694">
        <v>1125674.6299999999</v>
      </c>
      <c r="L275" s="1007">
        <f t="shared" si="42"/>
        <v>5628373.1499999994</v>
      </c>
      <c r="M275" s="1007">
        <f t="shared" si="43"/>
        <v>0</v>
      </c>
      <c r="N275" s="1007">
        <f t="shared" si="44"/>
        <v>5628373.1499999994</v>
      </c>
      <c r="O275" s="1007">
        <f t="shared" si="45"/>
        <v>0</v>
      </c>
      <c r="P275" s="1007">
        <f t="shared" si="46"/>
        <v>0</v>
      </c>
      <c r="Q275" s="1207"/>
      <c r="R275" s="1202"/>
      <c r="S275" s="445">
        <v>5</v>
      </c>
      <c r="T275" s="991">
        <f t="shared" si="41"/>
        <v>0</v>
      </c>
      <c r="U275" s="1008">
        <v>4529291.9000000004</v>
      </c>
    </row>
    <row r="276" spans="1:21" ht="15.75">
      <c r="A276" s="473">
        <v>268</v>
      </c>
      <c r="B276" s="819" t="s">
        <v>968</v>
      </c>
      <c r="C276" s="465">
        <v>80300117</v>
      </c>
      <c r="D276" s="470">
        <v>5</v>
      </c>
      <c r="E276" s="819" t="s">
        <v>1314</v>
      </c>
      <c r="F276" s="473"/>
      <c r="G276" s="470"/>
      <c r="H276" s="470">
        <v>5</v>
      </c>
      <c r="I276" s="470"/>
      <c r="J276" s="470"/>
      <c r="K276" s="694">
        <v>307002.17</v>
      </c>
      <c r="L276" s="1007">
        <f t="shared" si="42"/>
        <v>1535010.8499999999</v>
      </c>
      <c r="M276" s="1007">
        <f t="shared" si="43"/>
        <v>0</v>
      </c>
      <c r="N276" s="1007">
        <f t="shared" si="44"/>
        <v>1535010.8499999999</v>
      </c>
      <c r="O276" s="1007">
        <f t="shared" si="45"/>
        <v>0</v>
      </c>
      <c r="P276" s="1007">
        <f t="shared" si="46"/>
        <v>0</v>
      </c>
      <c r="Q276" s="1207"/>
      <c r="R276" s="1202"/>
      <c r="S276" s="445">
        <v>5</v>
      </c>
      <c r="T276" s="991">
        <f t="shared" si="41"/>
        <v>0</v>
      </c>
      <c r="U276" s="1008">
        <v>1235261.3999999999</v>
      </c>
    </row>
    <row r="277" spans="1:21" ht="30">
      <c r="A277" s="473">
        <v>269</v>
      </c>
      <c r="B277" s="819" t="s">
        <v>1479</v>
      </c>
      <c r="C277" s="465">
        <v>80801096</v>
      </c>
      <c r="D277" s="470">
        <v>3</v>
      </c>
      <c r="E277" s="819" t="s">
        <v>1314</v>
      </c>
      <c r="F277" s="473"/>
      <c r="G277" s="470"/>
      <c r="H277" s="470">
        <v>1</v>
      </c>
      <c r="I277" s="470">
        <v>1</v>
      </c>
      <c r="J277" s="470">
        <v>1</v>
      </c>
      <c r="K277" s="694">
        <v>55388308.539999999</v>
      </c>
      <c r="L277" s="1007">
        <f t="shared" si="42"/>
        <v>166164925.62</v>
      </c>
      <c r="M277" s="1007">
        <f t="shared" si="43"/>
        <v>0</v>
      </c>
      <c r="N277" s="1007">
        <f t="shared" si="44"/>
        <v>55388308.539999999</v>
      </c>
      <c r="O277" s="1007">
        <f t="shared" si="45"/>
        <v>55388308.539999999</v>
      </c>
      <c r="P277" s="1007">
        <f t="shared" si="46"/>
        <v>55388308.539999999</v>
      </c>
      <c r="Q277" s="1207"/>
      <c r="R277" s="1202"/>
      <c r="S277" s="445">
        <v>1</v>
      </c>
      <c r="T277" s="991">
        <f t="shared" si="41"/>
        <v>2</v>
      </c>
      <c r="U277" s="1008">
        <v>44572349.649999999</v>
      </c>
    </row>
    <row r="278" spans="1:21" ht="15.75">
      <c r="A278" s="473">
        <v>270</v>
      </c>
      <c r="B278" s="819" t="s">
        <v>1441</v>
      </c>
      <c r="C278" s="465">
        <v>64200127</v>
      </c>
      <c r="D278" s="470">
        <v>10</v>
      </c>
      <c r="E278" s="819" t="s">
        <v>1314</v>
      </c>
      <c r="F278" s="473"/>
      <c r="G278" s="470"/>
      <c r="H278" s="470">
        <v>6</v>
      </c>
      <c r="I278" s="470">
        <v>4</v>
      </c>
      <c r="J278" s="470"/>
      <c r="K278" s="694">
        <v>16066447</v>
      </c>
      <c r="L278" s="1007">
        <f t="shared" si="42"/>
        <v>160664470</v>
      </c>
      <c r="M278" s="1007">
        <f t="shared" si="43"/>
        <v>0</v>
      </c>
      <c r="N278" s="1007">
        <f t="shared" si="44"/>
        <v>96398682</v>
      </c>
      <c r="O278" s="1007">
        <f t="shared" si="45"/>
        <v>64265788</v>
      </c>
      <c r="P278" s="1007">
        <f t="shared" si="46"/>
        <v>0</v>
      </c>
      <c r="Q278" s="1207"/>
      <c r="R278" s="1202"/>
      <c r="S278" s="445">
        <v>6</v>
      </c>
      <c r="T278" s="991">
        <f t="shared" si="41"/>
        <v>4</v>
      </c>
      <c r="U278" s="1008">
        <v>77574417.299999997</v>
      </c>
    </row>
    <row r="279" spans="1:21" ht="15.75">
      <c r="A279" s="473">
        <v>271</v>
      </c>
      <c r="B279" s="819" t="s">
        <v>1394</v>
      </c>
      <c r="C279" s="465">
        <v>63300119</v>
      </c>
      <c r="D279" s="470">
        <v>5</v>
      </c>
      <c r="E279" s="819" t="s">
        <v>1314</v>
      </c>
      <c r="F279" s="473"/>
      <c r="G279" s="470"/>
      <c r="H279" s="470">
        <v>5</v>
      </c>
      <c r="I279" s="470"/>
      <c r="J279" s="470"/>
      <c r="K279" s="694">
        <v>2942104.15</v>
      </c>
      <c r="L279" s="1007">
        <f t="shared" si="42"/>
        <v>14710520.75</v>
      </c>
      <c r="M279" s="1007">
        <f t="shared" si="43"/>
        <v>0</v>
      </c>
      <c r="N279" s="1007">
        <f t="shared" si="44"/>
        <v>14710520.75</v>
      </c>
      <c r="O279" s="1007">
        <f t="shared" si="45"/>
        <v>0</v>
      </c>
      <c r="P279" s="1007">
        <f t="shared" si="46"/>
        <v>0</v>
      </c>
      <c r="Q279" s="1207"/>
      <c r="R279" s="1202"/>
      <c r="S279" s="445">
        <v>5</v>
      </c>
      <c r="T279" s="991">
        <f t="shared" si="41"/>
        <v>0</v>
      </c>
      <c r="U279" s="1008">
        <v>11837921.949999999</v>
      </c>
    </row>
    <row r="280" spans="1:21" ht="15.75">
      <c r="A280" s="473">
        <v>272</v>
      </c>
      <c r="B280" s="819" t="s">
        <v>2005</v>
      </c>
      <c r="C280" s="465">
        <v>63400358</v>
      </c>
      <c r="D280" s="470">
        <v>10</v>
      </c>
      <c r="E280" s="819" t="s">
        <v>1314</v>
      </c>
      <c r="F280" s="473"/>
      <c r="G280" s="470"/>
      <c r="H280" s="470">
        <v>5</v>
      </c>
      <c r="I280" s="470">
        <v>5</v>
      </c>
      <c r="J280" s="470"/>
      <c r="K280" s="694">
        <v>1100091.1200000001</v>
      </c>
      <c r="L280" s="1007">
        <f t="shared" si="42"/>
        <v>11000911.200000001</v>
      </c>
      <c r="M280" s="1007">
        <f t="shared" si="43"/>
        <v>0</v>
      </c>
      <c r="N280" s="1007">
        <f t="shared" si="44"/>
        <v>5500455.6000000006</v>
      </c>
      <c r="O280" s="1007">
        <f t="shared" si="45"/>
        <v>5500455.6000000006</v>
      </c>
      <c r="P280" s="1007">
        <f t="shared" si="46"/>
        <v>0</v>
      </c>
      <c r="Q280" s="1207"/>
      <c r="R280" s="1202"/>
      <c r="S280" s="445">
        <v>5</v>
      </c>
      <c r="T280" s="991">
        <f t="shared" si="41"/>
        <v>5</v>
      </c>
      <c r="U280" s="1008">
        <v>4426353.4000000004</v>
      </c>
    </row>
    <row r="281" spans="1:21" ht="15.75">
      <c r="A281" s="473">
        <v>273</v>
      </c>
      <c r="B281" s="819" t="s">
        <v>2006</v>
      </c>
      <c r="C281" s="465">
        <v>63300231</v>
      </c>
      <c r="D281" s="470">
        <v>2</v>
      </c>
      <c r="E281" s="819" t="s">
        <v>1314</v>
      </c>
      <c r="F281" s="473"/>
      <c r="G281" s="470"/>
      <c r="H281" s="470">
        <v>2</v>
      </c>
      <c r="I281" s="470"/>
      <c r="J281" s="470"/>
      <c r="K281" s="694">
        <v>14684937.23</v>
      </c>
      <c r="L281" s="1007">
        <f t="shared" si="42"/>
        <v>29369874.460000001</v>
      </c>
      <c r="M281" s="1007">
        <f t="shared" si="43"/>
        <v>0</v>
      </c>
      <c r="N281" s="1007">
        <f t="shared" si="44"/>
        <v>29369874.460000001</v>
      </c>
      <c r="O281" s="1007">
        <f t="shared" si="45"/>
        <v>0</v>
      </c>
      <c r="P281" s="1007">
        <f t="shared" si="46"/>
        <v>0</v>
      </c>
      <c r="Q281" s="1207"/>
      <c r="R281" s="1202"/>
      <c r="S281" s="445">
        <v>2</v>
      </c>
      <c r="T281" s="991">
        <f t="shared" si="41"/>
        <v>0</v>
      </c>
      <c r="U281" s="1008">
        <v>23634668.539999999</v>
      </c>
    </row>
    <row r="282" spans="1:21" s="404" customFormat="1" ht="15.75">
      <c r="A282" s="473">
        <v>274</v>
      </c>
      <c r="B282" s="819" t="s">
        <v>2835</v>
      </c>
      <c r="C282" s="465">
        <v>63300109</v>
      </c>
      <c r="D282" s="470">
        <v>1</v>
      </c>
      <c r="E282" s="819" t="s">
        <v>1314</v>
      </c>
      <c r="F282" s="473"/>
      <c r="G282" s="470"/>
      <c r="H282" s="470">
        <v>1</v>
      </c>
      <c r="I282" s="470"/>
      <c r="J282" s="470"/>
      <c r="K282" s="694">
        <v>106520709.95999999</v>
      </c>
      <c r="L282" s="1007">
        <f t="shared" si="42"/>
        <v>106520709.95999999</v>
      </c>
      <c r="M282" s="1007">
        <f t="shared" si="43"/>
        <v>0</v>
      </c>
      <c r="N282" s="1007">
        <f t="shared" si="44"/>
        <v>106520709.95999999</v>
      </c>
      <c r="O282" s="1007">
        <f t="shared" si="45"/>
        <v>0</v>
      </c>
      <c r="P282" s="1007">
        <f t="shared" si="46"/>
        <v>0</v>
      </c>
      <c r="Q282" s="1207"/>
      <c r="R282" s="1202"/>
      <c r="S282" s="1002">
        <v>1</v>
      </c>
      <c r="T282" s="991">
        <f t="shared" si="41"/>
        <v>0</v>
      </c>
      <c r="U282" s="1009">
        <v>106520710.84</v>
      </c>
    </row>
    <row r="283" spans="1:21" s="404" customFormat="1" ht="15.75">
      <c r="A283" s="473">
        <v>275</v>
      </c>
      <c r="B283" s="819" t="s">
        <v>2835</v>
      </c>
      <c r="C283" s="465">
        <v>63300168</v>
      </c>
      <c r="D283" s="470">
        <v>1</v>
      </c>
      <c r="E283" s="819" t="s">
        <v>1314</v>
      </c>
      <c r="F283" s="473"/>
      <c r="G283" s="470"/>
      <c r="H283" s="470">
        <v>1</v>
      </c>
      <c r="I283" s="470"/>
      <c r="J283" s="470"/>
      <c r="K283" s="694">
        <v>118338044.23999999</v>
      </c>
      <c r="L283" s="1007">
        <f t="shared" si="42"/>
        <v>118338044.23999999</v>
      </c>
      <c r="M283" s="1007">
        <f t="shared" si="43"/>
        <v>0</v>
      </c>
      <c r="N283" s="1007">
        <f t="shared" si="44"/>
        <v>118338044.23999999</v>
      </c>
      <c r="O283" s="1007">
        <f t="shared" si="45"/>
        <v>0</v>
      </c>
      <c r="P283" s="1007">
        <f t="shared" si="46"/>
        <v>0</v>
      </c>
      <c r="Q283" s="1207"/>
      <c r="R283" s="1202"/>
      <c r="S283" s="1002">
        <v>1</v>
      </c>
      <c r="T283" s="991">
        <f t="shared" si="41"/>
        <v>0</v>
      </c>
      <c r="U283" s="1009">
        <v>118338044.23</v>
      </c>
    </row>
    <row r="284" spans="1:21" s="404" customFormat="1" ht="15.75">
      <c r="A284" s="473">
        <v>276</v>
      </c>
      <c r="B284" s="819" t="s">
        <v>2836</v>
      </c>
      <c r="C284" s="465">
        <v>64200106</v>
      </c>
      <c r="D284" s="470">
        <v>10</v>
      </c>
      <c r="E284" s="819" t="s">
        <v>1314</v>
      </c>
      <c r="F284" s="473"/>
      <c r="G284" s="470"/>
      <c r="H284" s="470">
        <v>5</v>
      </c>
      <c r="I284" s="470">
        <v>5</v>
      </c>
      <c r="J284" s="470"/>
      <c r="K284" s="694">
        <v>4858694.93</v>
      </c>
      <c r="L284" s="1007">
        <f t="shared" si="42"/>
        <v>48586949.299999997</v>
      </c>
      <c r="M284" s="1007">
        <f t="shared" si="43"/>
        <v>0</v>
      </c>
      <c r="N284" s="1007">
        <f t="shared" si="44"/>
        <v>24293474.649999999</v>
      </c>
      <c r="O284" s="1007">
        <f t="shared" si="45"/>
        <v>24293474.649999999</v>
      </c>
      <c r="P284" s="1007">
        <f t="shared" si="46"/>
        <v>0</v>
      </c>
      <c r="Q284" s="1207"/>
      <c r="R284" s="1202"/>
      <c r="S284" s="1002">
        <v>5</v>
      </c>
      <c r="T284" s="991">
        <f t="shared" si="41"/>
        <v>5</v>
      </c>
      <c r="U284" s="1009">
        <v>24293474.600000001</v>
      </c>
    </row>
    <row r="285" spans="1:21" s="404" customFormat="1" ht="15.75">
      <c r="A285" s="473">
        <v>277</v>
      </c>
      <c r="B285" s="819" t="s">
        <v>2837</v>
      </c>
      <c r="C285" s="465">
        <v>64200104</v>
      </c>
      <c r="D285" s="470">
        <v>10</v>
      </c>
      <c r="E285" s="819" t="s">
        <v>1314</v>
      </c>
      <c r="F285" s="473"/>
      <c r="G285" s="470"/>
      <c r="H285" s="470">
        <v>5</v>
      </c>
      <c r="I285" s="470">
        <v>5</v>
      </c>
      <c r="J285" s="470"/>
      <c r="K285" s="694">
        <v>4323414.9800000004</v>
      </c>
      <c r="L285" s="1007">
        <f t="shared" si="42"/>
        <v>43234149.800000004</v>
      </c>
      <c r="M285" s="1007">
        <f t="shared" si="43"/>
        <v>0</v>
      </c>
      <c r="N285" s="1007">
        <f t="shared" si="44"/>
        <v>21617074.900000002</v>
      </c>
      <c r="O285" s="1007">
        <f t="shared" si="45"/>
        <v>21617074.900000002</v>
      </c>
      <c r="P285" s="1007">
        <f t="shared" si="46"/>
        <v>0</v>
      </c>
      <c r="Q285" s="1207"/>
      <c r="R285" s="1202"/>
      <c r="S285" s="1002">
        <v>5</v>
      </c>
      <c r="T285" s="991">
        <f t="shared" si="41"/>
        <v>5</v>
      </c>
      <c r="U285" s="1009">
        <v>21617074.899999999</v>
      </c>
    </row>
    <row r="286" spans="1:21" s="404" customFormat="1" ht="15.75">
      <c r="A286" s="473">
        <v>278</v>
      </c>
      <c r="B286" s="467" t="s">
        <v>1394</v>
      </c>
      <c r="C286" s="465">
        <v>63300280</v>
      </c>
      <c r="D286" s="470">
        <v>10</v>
      </c>
      <c r="E286" s="819" t="s">
        <v>1314</v>
      </c>
      <c r="F286" s="465"/>
      <c r="G286" s="470"/>
      <c r="H286" s="470">
        <v>5</v>
      </c>
      <c r="I286" s="470">
        <v>5</v>
      </c>
      <c r="J286" s="470"/>
      <c r="K286" s="694">
        <v>1111735.28</v>
      </c>
      <c r="L286" s="1007">
        <f t="shared" si="42"/>
        <v>11117352.800000001</v>
      </c>
      <c r="M286" s="1007">
        <f t="shared" si="43"/>
        <v>0</v>
      </c>
      <c r="N286" s="1007">
        <f t="shared" si="44"/>
        <v>5558676.4000000004</v>
      </c>
      <c r="O286" s="1007">
        <f t="shared" si="45"/>
        <v>5558676.4000000004</v>
      </c>
      <c r="P286" s="1007">
        <f t="shared" si="46"/>
        <v>0</v>
      </c>
      <c r="Q286" s="1207"/>
      <c r="R286" s="1203"/>
      <c r="S286" s="1002">
        <v>5</v>
      </c>
      <c r="T286" s="991">
        <f t="shared" si="41"/>
        <v>5</v>
      </c>
      <c r="U286" s="1009">
        <v>5558676.4000000004</v>
      </c>
    </row>
    <row r="287" spans="1:21" ht="18.75">
      <c r="A287" s="1170" t="s">
        <v>1480</v>
      </c>
      <c r="B287" s="1170"/>
      <c r="C287" s="1170"/>
      <c r="D287" s="1170"/>
      <c r="E287" s="1170"/>
      <c r="F287" s="1170"/>
      <c r="G287" s="1170"/>
      <c r="H287" s="1170"/>
      <c r="I287" s="1170"/>
      <c r="J287" s="1170"/>
      <c r="K287" s="1170"/>
      <c r="L287" s="1007">
        <f>SUM(L288:L308)</f>
        <v>8973323849.1200008</v>
      </c>
      <c r="M287" s="1007">
        <f>SUM(M288:M308)</f>
        <v>0</v>
      </c>
      <c r="N287" s="1007">
        <f>SUM(N288:N308)</f>
        <v>4197379178.1399994</v>
      </c>
      <c r="O287" s="1007">
        <f>SUM(O288:O308)</f>
        <v>3158867580.7799997</v>
      </c>
      <c r="P287" s="1007">
        <f>SUM(P288:P308)</f>
        <v>1617077090.1999998</v>
      </c>
      <c r="R287" s="445"/>
      <c r="S287" s="445"/>
      <c r="T287" s="991"/>
      <c r="U287" s="1008"/>
    </row>
    <row r="288" spans="1:21" ht="15.75">
      <c r="A288" s="473">
        <v>279</v>
      </c>
      <c r="B288" s="819" t="s">
        <v>2007</v>
      </c>
      <c r="C288" s="465">
        <v>63300284</v>
      </c>
      <c r="D288" s="470">
        <v>1</v>
      </c>
      <c r="E288" s="819" t="s">
        <v>1314</v>
      </c>
      <c r="F288" s="473"/>
      <c r="G288" s="470"/>
      <c r="H288" s="470">
        <v>1</v>
      </c>
      <c r="I288" s="470"/>
      <c r="J288" s="470"/>
      <c r="K288" s="488">
        <v>448862759.02999997</v>
      </c>
      <c r="L288" s="1007">
        <f>K288*D288</f>
        <v>448862759.02999997</v>
      </c>
      <c r="M288" s="1007">
        <f t="shared" si="43"/>
        <v>0</v>
      </c>
      <c r="N288" s="1007">
        <f>K288*H288</f>
        <v>448862759.02999997</v>
      </c>
      <c r="O288" s="1007">
        <f>K288*I288</f>
        <v>0</v>
      </c>
      <c r="P288" s="1007">
        <f>K288*J288</f>
        <v>0</v>
      </c>
      <c r="Q288" s="1206" t="s">
        <v>4235</v>
      </c>
      <c r="R288" s="445"/>
      <c r="S288" s="445">
        <v>1</v>
      </c>
      <c r="T288" s="991">
        <f t="shared" si="41"/>
        <v>0</v>
      </c>
      <c r="U288" s="1008"/>
    </row>
    <row r="289" spans="1:21" ht="15.75">
      <c r="A289" s="473">
        <v>280</v>
      </c>
      <c r="B289" s="819" t="s">
        <v>1481</v>
      </c>
      <c r="C289" s="819" t="s">
        <v>1482</v>
      </c>
      <c r="D289" s="470">
        <v>690</v>
      </c>
      <c r="E289" s="819" t="s">
        <v>1314</v>
      </c>
      <c r="F289" s="473"/>
      <c r="G289" s="470"/>
      <c r="H289" s="470">
        <v>230</v>
      </c>
      <c r="I289" s="470">
        <v>230</v>
      </c>
      <c r="J289" s="470">
        <v>230</v>
      </c>
      <c r="K289" s="488">
        <v>2103533.4</v>
      </c>
      <c r="L289" s="1007">
        <f t="shared" ref="L289:L308" si="47">K289*D289</f>
        <v>1451438046</v>
      </c>
      <c r="M289" s="1007">
        <f t="shared" si="43"/>
        <v>0</v>
      </c>
      <c r="N289" s="1007">
        <f t="shared" ref="N289:N308" si="48">K289*H289</f>
        <v>483812682</v>
      </c>
      <c r="O289" s="1007">
        <f t="shared" ref="O289:O308" si="49">K289*I289</f>
        <v>483812682</v>
      </c>
      <c r="P289" s="1007">
        <f t="shared" ref="P289:P308" si="50">K289*J289</f>
        <v>483812682</v>
      </c>
      <c r="Q289" s="1207"/>
      <c r="R289" s="445"/>
      <c r="S289" s="445">
        <v>690</v>
      </c>
      <c r="T289" s="991">
        <f t="shared" si="41"/>
        <v>0</v>
      </c>
      <c r="U289" s="1008"/>
    </row>
    <row r="290" spans="1:21" ht="15.75">
      <c r="A290" s="473">
        <v>281</v>
      </c>
      <c r="B290" s="819" t="s">
        <v>1483</v>
      </c>
      <c r="C290" s="465">
        <v>21538975</v>
      </c>
      <c r="D290" s="470">
        <v>690</v>
      </c>
      <c r="E290" s="819" t="s">
        <v>1314</v>
      </c>
      <c r="F290" s="473"/>
      <c r="G290" s="470"/>
      <c r="H290" s="470">
        <v>230</v>
      </c>
      <c r="I290" s="470">
        <v>230</v>
      </c>
      <c r="J290" s="470">
        <v>230</v>
      </c>
      <c r="K290" s="488">
        <v>3044438.21</v>
      </c>
      <c r="L290" s="1007">
        <f t="shared" si="47"/>
        <v>2100662364.8999999</v>
      </c>
      <c r="M290" s="1007">
        <f t="shared" si="43"/>
        <v>0</v>
      </c>
      <c r="N290" s="1007">
        <f t="shared" si="48"/>
        <v>700220788.29999995</v>
      </c>
      <c r="O290" s="1007">
        <f t="shared" si="49"/>
        <v>700220788.29999995</v>
      </c>
      <c r="P290" s="1007">
        <f t="shared" si="50"/>
        <v>700220788.29999995</v>
      </c>
      <c r="Q290" s="1207"/>
      <c r="R290" s="445"/>
      <c r="S290" s="445">
        <v>690</v>
      </c>
      <c r="T290" s="991">
        <f t="shared" si="41"/>
        <v>0</v>
      </c>
      <c r="U290" s="1008"/>
    </row>
    <row r="291" spans="1:21" ht="15.75">
      <c r="A291" s="473">
        <v>282</v>
      </c>
      <c r="B291" s="819" t="s">
        <v>1484</v>
      </c>
      <c r="C291" s="465">
        <v>22296415</v>
      </c>
      <c r="D291" s="470">
        <v>690</v>
      </c>
      <c r="E291" s="819" t="s">
        <v>1314</v>
      </c>
      <c r="F291" s="473"/>
      <c r="G291" s="470"/>
      <c r="H291" s="470">
        <v>230</v>
      </c>
      <c r="I291" s="470">
        <v>230</v>
      </c>
      <c r="J291" s="470">
        <v>230</v>
      </c>
      <c r="K291" s="488">
        <v>1637344.92</v>
      </c>
      <c r="L291" s="1007">
        <f t="shared" si="47"/>
        <v>1129767994.8</v>
      </c>
      <c r="M291" s="1007">
        <f t="shared" si="43"/>
        <v>0</v>
      </c>
      <c r="N291" s="1007">
        <f t="shared" si="48"/>
        <v>376589331.59999996</v>
      </c>
      <c r="O291" s="1007">
        <f t="shared" si="49"/>
        <v>376589331.59999996</v>
      </c>
      <c r="P291" s="1007">
        <f t="shared" si="50"/>
        <v>376589331.59999996</v>
      </c>
      <c r="Q291" s="1207"/>
      <c r="R291" s="445"/>
      <c r="S291" s="445">
        <v>690</v>
      </c>
      <c r="T291" s="991">
        <f t="shared" ref="T291:T354" si="51">G291+H291+I291+J291-S291</f>
        <v>0</v>
      </c>
      <c r="U291" s="1008"/>
    </row>
    <row r="292" spans="1:21" ht="15.75">
      <c r="A292" s="473">
        <v>283</v>
      </c>
      <c r="B292" s="819" t="s">
        <v>1485</v>
      </c>
      <c r="C292" s="465">
        <v>21377909</v>
      </c>
      <c r="D292" s="470">
        <v>400</v>
      </c>
      <c r="E292" s="819" t="s">
        <v>1314</v>
      </c>
      <c r="F292" s="473"/>
      <c r="G292" s="470"/>
      <c r="H292" s="470">
        <v>200</v>
      </c>
      <c r="I292" s="470">
        <v>200</v>
      </c>
      <c r="J292" s="470"/>
      <c r="K292" s="488">
        <v>5807457.75</v>
      </c>
      <c r="L292" s="1007">
        <f t="shared" si="47"/>
        <v>2322983100</v>
      </c>
      <c r="M292" s="1007">
        <f t="shared" si="43"/>
        <v>0</v>
      </c>
      <c r="N292" s="1007">
        <f t="shared" si="48"/>
        <v>1161491550</v>
      </c>
      <c r="O292" s="1007">
        <f t="shared" si="49"/>
        <v>1161491550</v>
      </c>
      <c r="P292" s="1007">
        <f t="shared" si="50"/>
        <v>0</v>
      </c>
      <c r="Q292" s="1207"/>
      <c r="R292" s="445"/>
      <c r="S292" s="445">
        <v>400</v>
      </c>
      <c r="T292" s="991">
        <f t="shared" si="51"/>
        <v>0</v>
      </c>
      <c r="U292" s="1008"/>
    </row>
    <row r="293" spans="1:21" ht="15.75">
      <c r="A293" s="473">
        <v>284</v>
      </c>
      <c r="B293" s="819" t="s">
        <v>1486</v>
      </c>
      <c r="C293" s="465">
        <v>21913340</v>
      </c>
      <c r="D293" s="470">
        <v>3</v>
      </c>
      <c r="E293" s="819" t="s">
        <v>1314</v>
      </c>
      <c r="F293" s="473"/>
      <c r="G293" s="470"/>
      <c r="H293" s="470">
        <v>1</v>
      </c>
      <c r="I293" s="470">
        <v>1</v>
      </c>
      <c r="J293" s="470">
        <v>1</v>
      </c>
      <c r="K293" s="488">
        <v>56454288.299999997</v>
      </c>
      <c r="L293" s="1007">
        <f t="shared" si="47"/>
        <v>169362864.89999998</v>
      </c>
      <c r="M293" s="1007">
        <f t="shared" si="43"/>
        <v>0</v>
      </c>
      <c r="N293" s="1007">
        <f t="shared" si="48"/>
        <v>56454288.299999997</v>
      </c>
      <c r="O293" s="1007">
        <f t="shared" si="49"/>
        <v>56454288.299999997</v>
      </c>
      <c r="P293" s="1007">
        <f t="shared" si="50"/>
        <v>56454288.299999997</v>
      </c>
      <c r="Q293" s="1207"/>
      <c r="R293" s="1003"/>
      <c r="S293" s="445">
        <v>3</v>
      </c>
      <c r="T293" s="991">
        <f t="shared" si="51"/>
        <v>0</v>
      </c>
      <c r="U293" s="1008"/>
    </row>
    <row r="294" spans="1:21" ht="15.75">
      <c r="A294" s="473">
        <v>285</v>
      </c>
      <c r="B294" s="819" t="s">
        <v>1355</v>
      </c>
      <c r="C294" s="465">
        <v>3827475</v>
      </c>
      <c r="D294" s="470">
        <v>1</v>
      </c>
      <c r="E294" s="819" t="s">
        <v>1314</v>
      </c>
      <c r="F294" s="473"/>
      <c r="G294" s="470"/>
      <c r="H294" s="470">
        <v>1</v>
      </c>
      <c r="I294" s="470"/>
      <c r="J294" s="470"/>
      <c r="K294" s="488">
        <v>23082015.16</v>
      </c>
      <c r="L294" s="1007">
        <f t="shared" si="47"/>
        <v>23082015.16</v>
      </c>
      <c r="M294" s="1007">
        <f t="shared" si="43"/>
        <v>0</v>
      </c>
      <c r="N294" s="1007">
        <f t="shared" si="48"/>
        <v>23082015.16</v>
      </c>
      <c r="O294" s="1007">
        <f t="shared" si="49"/>
        <v>0</v>
      </c>
      <c r="P294" s="1007">
        <f t="shared" si="50"/>
        <v>0</v>
      </c>
      <c r="Q294" s="1207"/>
      <c r="R294" s="1003"/>
      <c r="S294" s="445">
        <v>1</v>
      </c>
      <c r="T294" s="991">
        <f t="shared" si="51"/>
        <v>0</v>
      </c>
      <c r="U294" s="1008"/>
    </row>
    <row r="295" spans="1:21" ht="15.75">
      <c r="A295" s="473">
        <v>286</v>
      </c>
      <c r="B295" s="819" t="s">
        <v>1487</v>
      </c>
      <c r="C295" s="465">
        <v>22251132</v>
      </c>
      <c r="D295" s="470">
        <v>1</v>
      </c>
      <c r="E295" s="819" t="s">
        <v>1314</v>
      </c>
      <c r="F295" s="473"/>
      <c r="G295" s="470"/>
      <c r="H295" s="470">
        <v>1</v>
      </c>
      <c r="I295" s="470"/>
      <c r="J295" s="470"/>
      <c r="K295" s="488">
        <v>109724850.37</v>
      </c>
      <c r="L295" s="1007">
        <f t="shared" si="47"/>
        <v>109724850.37</v>
      </c>
      <c r="M295" s="1007">
        <f t="shared" si="43"/>
        <v>0</v>
      </c>
      <c r="N295" s="1007">
        <f t="shared" si="48"/>
        <v>109724850.37</v>
      </c>
      <c r="O295" s="1007">
        <f t="shared" si="49"/>
        <v>0</v>
      </c>
      <c r="P295" s="1007">
        <f t="shared" si="50"/>
        <v>0</v>
      </c>
      <c r="Q295" s="1207"/>
      <c r="R295" s="1003"/>
      <c r="S295" s="445">
        <v>1</v>
      </c>
      <c r="T295" s="991">
        <f t="shared" si="51"/>
        <v>0</v>
      </c>
      <c r="U295" s="1008"/>
    </row>
    <row r="296" spans="1:21" ht="15.75">
      <c r="A296" s="473">
        <v>287</v>
      </c>
      <c r="B296" s="819" t="s">
        <v>1487</v>
      </c>
      <c r="C296" s="465">
        <v>22251134</v>
      </c>
      <c r="D296" s="470">
        <v>1</v>
      </c>
      <c r="E296" s="819" t="s">
        <v>1314</v>
      </c>
      <c r="F296" s="473"/>
      <c r="G296" s="470"/>
      <c r="H296" s="470">
        <v>1</v>
      </c>
      <c r="I296" s="470"/>
      <c r="J296" s="470"/>
      <c r="K296" s="488">
        <v>62907019.140000001</v>
      </c>
      <c r="L296" s="1007">
        <f t="shared" si="47"/>
        <v>62907019.140000001</v>
      </c>
      <c r="M296" s="1007">
        <f t="shared" si="43"/>
        <v>0</v>
      </c>
      <c r="N296" s="1007">
        <f t="shared" si="48"/>
        <v>62907019.140000001</v>
      </c>
      <c r="O296" s="1007">
        <f t="shared" si="49"/>
        <v>0</v>
      </c>
      <c r="P296" s="1007">
        <f t="shared" si="50"/>
        <v>0</v>
      </c>
      <c r="Q296" s="1207"/>
      <c r="R296" s="1003"/>
      <c r="S296" s="445">
        <v>1</v>
      </c>
      <c r="T296" s="991">
        <f t="shared" si="51"/>
        <v>0</v>
      </c>
      <c r="U296" s="1008"/>
    </row>
    <row r="297" spans="1:21" ht="15.75">
      <c r="A297" s="473">
        <v>288</v>
      </c>
      <c r="B297" s="819" t="s">
        <v>1488</v>
      </c>
      <c r="C297" s="465">
        <v>21785960</v>
      </c>
      <c r="D297" s="470">
        <v>20</v>
      </c>
      <c r="E297" s="819" t="s">
        <v>1314</v>
      </c>
      <c r="F297" s="473"/>
      <c r="G297" s="470"/>
      <c r="H297" s="470">
        <v>20</v>
      </c>
      <c r="I297" s="470"/>
      <c r="J297" s="470"/>
      <c r="K297" s="488">
        <v>13891848.279999999</v>
      </c>
      <c r="L297" s="1007">
        <f t="shared" si="47"/>
        <v>277836965.59999996</v>
      </c>
      <c r="M297" s="1007">
        <f t="shared" si="43"/>
        <v>0</v>
      </c>
      <c r="N297" s="1007">
        <f t="shared" si="48"/>
        <v>277836965.59999996</v>
      </c>
      <c r="O297" s="1007">
        <f t="shared" si="49"/>
        <v>0</v>
      </c>
      <c r="P297" s="1007">
        <f t="shared" si="50"/>
        <v>0</v>
      </c>
      <c r="Q297" s="1207"/>
      <c r="R297" s="1003"/>
      <c r="S297" s="445">
        <v>20</v>
      </c>
      <c r="T297" s="991">
        <f t="shared" si="51"/>
        <v>0</v>
      </c>
      <c r="U297" s="1008"/>
    </row>
    <row r="298" spans="1:21" ht="15.75">
      <c r="A298" s="473">
        <v>289</v>
      </c>
      <c r="B298" s="819" t="s">
        <v>1489</v>
      </c>
      <c r="C298" s="465">
        <v>22296404</v>
      </c>
      <c r="D298" s="470">
        <v>1</v>
      </c>
      <c r="E298" s="819" t="s">
        <v>1314</v>
      </c>
      <c r="F298" s="473"/>
      <c r="G298" s="470"/>
      <c r="H298" s="470">
        <v>1</v>
      </c>
      <c r="I298" s="470"/>
      <c r="J298" s="470"/>
      <c r="K298" s="488">
        <v>10540407.91</v>
      </c>
      <c r="L298" s="1007">
        <f t="shared" si="47"/>
        <v>10540407.91</v>
      </c>
      <c r="M298" s="1007">
        <f t="shared" si="43"/>
        <v>0</v>
      </c>
      <c r="N298" s="1007">
        <f t="shared" si="48"/>
        <v>10540407.91</v>
      </c>
      <c r="O298" s="1007">
        <f t="shared" si="49"/>
        <v>0</v>
      </c>
      <c r="P298" s="1007">
        <f t="shared" si="50"/>
        <v>0</v>
      </c>
      <c r="Q298" s="1207"/>
      <c r="R298" s="1003"/>
      <c r="S298" s="445">
        <v>1</v>
      </c>
      <c r="T298" s="991">
        <f t="shared" si="51"/>
        <v>0</v>
      </c>
      <c r="U298" s="1008"/>
    </row>
    <row r="299" spans="1:21" ht="15.75">
      <c r="A299" s="473">
        <v>290</v>
      </c>
      <c r="B299" s="491" t="s">
        <v>1489</v>
      </c>
      <c r="C299" s="493">
        <v>22812908</v>
      </c>
      <c r="D299" s="470">
        <v>1</v>
      </c>
      <c r="E299" s="819" t="s">
        <v>1314</v>
      </c>
      <c r="F299" s="473"/>
      <c r="G299" s="470"/>
      <c r="H299" s="470">
        <v>1</v>
      </c>
      <c r="I299" s="470"/>
      <c r="J299" s="470"/>
      <c r="K299" s="488">
        <v>0</v>
      </c>
      <c r="L299" s="1007">
        <f t="shared" si="47"/>
        <v>0</v>
      </c>
      <c r="M299" s="1007">
        <f t="shared" si="43"/>
        <v>0</v>
      </c>
      <c r="N299" s="1007">
        <f t="shared" si="48"/>
        <v>0</v>
      </c>
      <c r="O299" s="1007">
        <f t="shared" si="49"/>
        <v>0</v>
      </c>
      <c r="P299" s="1007">
        <f t="shared" si="50"/>
        <v>0</v>
      </c>
      <c r="Q299" s="1207"/>
      <c r="R299" s="1003"/>
      <c r="S299" s="445">
        <v>1</v>
      </c>
      <c r="T299" s="991">
        <f t="shared" si="51"/>
        <v>0</v>
      </c>
      <c r="U299" s="1008"/>
    </row>
    <row r="300" spans="1:21" ht="15.75">
      <c r="A300" s="473">
        <v>291</v>
      </c>
      <c r="B300" s="491" t="s">
        <v>1490</v>
      </c>
      <c r="C300" s="493">
        <v>22590479</v>
      </c>
      <c r="D300" s="470">
        <v>1</v>
      </c>
      <c r="E300" s="819" t="s">
        <v>1314</v>
      </c>
      <c r="F300" s="473"/>
      <c r="G300" s="470"/>
      <c r="H300" s="470">
        <v>1</v>
      </c>
      <c r="I300" s="470"/>
      <c r="J300" s="470"/>
      <c r="K300" s="488">
        <v>0</v>
      </c>
      <c r="L300" s="1007">
        <f t="shared" si="47"/>
        <v>0</v>
      </c>
      <c r="M300" s="1007">
        <f t="shared" si="43"/>
        <v>0</v>
      </c>
      <c r="N300" s="1007">
        <f t="shared" si="48"/>
        <v>0</v>
      </c>
      <c r="O300" s="1007">
        <f t="shared" si="49"/>
        <v>0</v>
      </c>
      <c r="P300" s="1007">
        <f t="shared" si="50"/>
        <v>0</v>
      </c>
      <c r="Q300" s="1207"/>
      <c r="R300" s="1003"/>
      <c r="S300" s="445">
        <v>1</v>
      </c>
      <c r="T300" s="991">
        <f t="shared" si="51"/>
        <v>0</v>
      </c>
      <c r="U300" s="1008"/>
    </row>
    <row r="301" spans="1:21" ht="15.75">
      <c r="A301" s="473">
        <v>292</v>
      </c>
      <c r="B301" s="819" t="s">
        <v>1490</v>
      </c>
      <c r="C301" s="465">
        <v>23099979</v>
      </c>
      <c r="D301" s="470">
        <v>1</v>
      </c>
      <c r="E301" s="819" t="s">
        <v>1314</v>
      </c>
      <c r="F301" s="473"/>
      <c r="G301" s="470"/>
      <c r="H301" s="470">
        <v>1</v>
      </c>
      <c r="I301" s="470"/>
      <c r="J301" s="470"/>
      <c r="K301" s="488">
        <v>105557580.15000001</v>
      </c>
      <c r="L301" s="1007">
        <f t="shared" si="47"/>
        <v>105557580.15000001</v>
      </c>
      <c r="M301" s="1007">
        <f t="shared" si="43"/>
        <v>0</v>
      </c>
      <c r="N301" s="1007">
        <f t="shared" si="48"/>
        <v>105557580.15000001</v>
      </c>
      <c r="O301" s="1007">
        <f t="shared" si="49"/>
        <v>0</v>
      </c>
      <c r="P301" s="1007">
        <f t="shared" si="50"/>
        <v>0</v>
      </c>
      <c r="Q301" s="1207"/>
      <c r="R301" s="1003"/>
      <c r="S301" s="445">
        <v>1</v>
      </c>
      <c r="T301" s="991">
        <f t="shared" si="51"/>
        <v>0</v>
      </c>
      <c r="U301" s="1008"/>
    </row>
    <row r="302" spans="1:21" ht="15.75">
      <c r="A302" s="473">
        <v>293</v>
      </c>
      <c r="B302" s="819" t="s">
        <v>1491</v>
      </c>
      <c r="C302" s="465">
        <v>21735265</v>
      </c>
      <c r="D302" s="470">
        <v>4</v>
      </c>
      <c r="E302" s="819" t="s">
        <v>1314</v>
      </c>
      <c r="F302" s="473"/>
      <c r="G302" s="470"/>
      <c r="H302" s="470">
        <v>2</v>
      </c>
      <c r="I302" s="470">
        <v>2</v>
      </c>
      <c r="J302" s="470"/>
      <c r="K302" s="488">
        <v>46107178.060000002</v>
      </c>
      <c r="L302" s="1007">
        <f t="shared" si="47"/>
        <v>184428712.24000001</v>
      </c>
      <c r="M302" s="1007">
        <f t="shared" si="43"/>
        <v>0</v>
      </c>
      <c r="N302" s="1007">
        <f t="shared" si="48"/>
        <v>92214356.120000005</v>
      </c>
      <c r="O302" s="1007">
        <f t="shared" si="49"/>
        <v>92214356.120000005</v>
      </c>
      <c r="P302" s="1007">
        <f t="shared" si="50"/>
        <v>0</v>
      </c>
      <c r="Q302" s="1207"/>
      <c r="R302" s="1003"/>
      <c r="S302" s="445">
        <v>4</v>
      </c>
      <c r="T302" s="991">
        <f t="shared" si="51"/>
        <v>0</v>
      </c>
      <c r="U302" s="1008"/>
    </row>
    <row r="303" spans="1:21" ht="15.75">
      <c r="A303" s="473">
        <v>294</v>
      </c>
      <c r="B303" s="819" t="s">
        <v>1492</v>
      </c>
      <c r="C303" s="465">
        <v>21746213</v>
      </c>
      <c r="D303" s="470">
        <v>4</v>
      </c>
      <c r="E303" s="819" t="s">
        <v>1314</v>
      </c>
      <c r="F303" s="473"/>
      <c r="G303" s="470"/>
      <c r="H303" s="470">
        <v>2</v>
      </c>
      <c r="I303" s="470">
        <v>2</v>
      </c>
      <c r="J303" s="470"/>
      <c r="K303" s="488">
        <v>5855782.1699999999</v>
      </c>
      <c r="L303" s="1007">
        <f t="shared" si="47"/>
        <v>23423128.68</v>
      </c>
      <c r="M303" s="1007">
        <f t="shared" si="43"/>
        <v>0</v>
      </c>
      <c r="N303" s="1007">
        <f t="shared" si="48"/>
        <v>11711564.34</v>
      </c>
      <c r="O303" s="1007">
        <f t="shared" si="49"/>
        <v>11711564.34</v>
      </c>
      <c r="P303" s="1007">
        <f t="shared" si="50"/>
        <v>0</v>
      </c>
      <c r="Q303" s="1207"/>
      <c r="R303" s="1003"/>
      <c r="S303" s="445">
        <v>4</v>
      </c>
      <c r="T303" s="991">
        <f t="shared" si="51"/>
        <v>0</v>
      </c>
      <c r="U303" s="1008"/>
    </row>
    <row r="304" spans="1:21" ht="15.75">
      <c r="A304" s="473">
        <v>295</v>
      </c>
      <c r="B304" s="819" t="s">
        <v>1493</v>
      </c>
      <c r="C304" s="465">
        <v>22707523</v>
      </c>
      <c r="D304" s="470">
        <v>30</v>
      </c>
      <c r="E304" s="819" t="s">
        <v>1314</v>
      </c>
      <c r="F304" s="473"/>
      <c r="G304" s="470"/>
      <c r="H304" s="470">
        <v>15</v>
      </c>
      <c r="I304" s="470">
        <v>15</v>
      </c>
      <c r="J304" s="470"/>
      <c r="K304" s="488">
        <v>2430433.86</v>
      </c>
      <c r="L304" s="1007">
        <f t="shared" si="47"/>
        <v>72913015.799999997</v>
      </c>
      <c r="M304" s="1007">
        <f t="shared" si="43"/>
        <v>0</v>
      </c>
      <c r="N304" s="1007">
        <f t="shared" si="48"/>
        <v>36456507.899999999</v>
      </c>
      <c r="O304" s="1007">
        <f t="shared" si="49"/>
        <v>36456507.899999999</v>
      </c>
      <c r="P304" s="1007">
        <f t="shared" si="50"/>
        <v>0</v>
      </c>
      <c r="Q304" s="1207"/>
      <c r="R304" s="1003"/>
      <c r="S304" s="445">
        <v>30</v>
      </c>
      <c r="T304" s="991">
        <f t="shared" si="51"/>
        <v>0</v>
      </c>
      <c r="U304" s="1008"/>
    </row>
    <row r="305" spans="1:21" ht="15.75">
      <c r="A305" s="473">
        <v>296</v>
      </c>
      <c r="B305" s="819" t="s">
        <v>1494</v>
      </c>
      <c r="C305" s="465">
        <v>23309926</v>
      </c>
      <c r="D305" s="470">
        <v>4</v>
      </c>
      <c r="E305" s="819" t="s">
        <v>1314</v>
      </c>
      <c r="F305" s="473"/>
      <c r="G305" s="470"/>
      <c r="H305" s="470">
        <v>2</v>
      </c>
      <c r="I305" s="470">
        <v>2</v>
      </c>
      <c r="J305" s="470"/>
      <c r="K305" s="488">
        <v>69928272.519999996</v>
      </c>
      <c r="L305" s="1007">
        <f t="shared" si="47"/>
        <v>279713090.07999998</v>
      </c>
      <c r="M305" s="1007">
        <f t="shared" si="43"/>
        <v>0</v>
      </c>
      <c r="N305" s="1007">
        <f t="shared" si="48"/>
        <v>139856545.03999999</v>
      </c>
      <c r="O305" s="1007">
        <f t="shared" si="49"/>
        <v>139856545.03999999</v>
      </c>
      <c r="P305" s="1007">
        <f t="shared" si="50"/>
        <v>0</v>
      </c>
      <c r="Q305" s="1207"/>
      <c r="R305" s="1003"/>
      <c r="S305" s="445">
        <v>4</v>
      </c>
      <c r="T305" s="991">
        <f t="shared" si="51"/>
        <v>0</v>
      </c>
      <c r="U305" s="1008"/>
    </row>
    <row r="306" spans="1:21" ht="15.75">
      <c r="A306" s="473">
        <v>297</v>
      </c>
      <c r="B306" s="819" t="s">
        <v>1495</v>
      </c>
      <c r="C306" s="465">
        <v>23287028</v>
      </c>
      <c r="D306" s="470">
        <v>2</v>
      </c>
      <c r="E306" s="819" t="s">
        <v>1314</v>
      </c>
      <c r="F306" s="473"/>
      <c r="G306" s="470"/>
      <c r="H306" s="470">
        <v>1</v>
      </c>
      <c r="I306" s="470">
        <v>1</v>
      </c>
      <c r="J306" s="470"/>
      <c r="K306" s="488">
        <v>100059967.18000001</v>
      </c>
      <c r="L306" s="1007">
        <f t="shared" si="47"/>
        <v>200119934.36000001</v>
      </c>
      <c r="M306" s="1007">
        <f t="shared" si="43"/>
        <v>0</v>
      </c>
      <c r="N306" s="1007">
        <f t="shared" si="48"/>
        <v>100059967.18000001</v>
      </c>
      <c r="O306" s="1007">
        <f t="shared" si="49"/>
        <v>100059967.18000001</v>
      </c>
      <c r="P306" s="1007">
        <f t="shared" si="50"/>
        <v>0</v>
      </c>
      <c r="Q306" s="1207"/>
      <c r="R306" s="1003"/>
      <c r="S306" s="445">
        <v>2</v>
      </c>
      <c r="T306" s="991">
        <f t="shared" si="51"/>
        <v>0</v>
      </c>
      <c r="U306" s="1008"/>
    </row>
    <row r="307" spans="1:21" ht="15.75">
      <c r="A307" s="473">
        <v>298</v>
      </c>
      <c r="B307" s="491" t="s">
        <v>2832</v>
      </c>
      <c r="C307" s="493">
        <v>22208991</v>
      </c>
      <c r="D307" s="470">
        <v>2</v>
      </c>
      <c r="E307" s="819" t="s">
        <v>1314</v>
      </c>
      <c r="F307" s="473"/>
      <c r="G307" s="470"/>
      <c r="H307" s="470">
        <v>2</v>
      </c>
      <c r="I307" s="470"/>
      <c r="J307" s="470"/>
      <c r="K307" s="488">
        <v>0</v>
      </c>
      <c r="L307" s="1007">
        <f t="shared" si="47"/>
        <v>0</v>
      </c>
      <c r="M307" s="1007">
        <f t="shared" si="43"/>
        <v>0</v>
      </c>
      <c r="N307" s="1007">
        <f t="shared" si="48"/>
        <v>0</v>
      </c>
      <c r="O307" s="1007">
        <f t="shared" si="49"/>
        <v>0</v>
      </c>
      <c r="P307" s="1007">
        <f t="shared" si="50"/>
        <v>0</v>
      </c>
      <c r="Q307" s="1207"/>
      <c r="R307" s="445"/>
      <c r="S307" s="445">
        <v>2</v>
      </c>
      <c r="T307" s="991">
        <f t="shared" si="51"/>
        <v>0</v>
      </c>
      <c r="U307" s="1008"/>
    </row>
    <row r="308" spans="1:21" ht="15.75">
      <c r="A308" s="473">
        <v>299</v>
      </c>
      <c r="B308" s="491" t="s">
        <v>2832</v>
      </c>
      <c r="C308" s="493">
        <v>22208989</v>
      </c>
      <c r="D308" s="470">
        <v>2</v>
      </c>
      <c r="E308" s="819" t="s">
        <v>1314</v>
      </c>
      <c r="F308" s="473"/>
      <c r="G308" s="470"/>
      <c r="H308" s="470">
        <v>2</v>
      </c>
      <c r="I308" s="470"/>
      <c r="J308" s="470"/>
      <c r="K308" s="488">
        <v>0</v>
      </c>
      <c r="L308" s="1007">
        <f t="shared" si="47"/>
        <v>0</v>
      </c>
      <c r="M308" s="1007">
        <f t="shared" si="43"/>
        <v>0</v>
      </c>
      <c r="N308" s="1007">
        <f t="shared" si="48"/>
        <v>0</v>
      </c>
      <c r="O308" s="1007">
        <f t="shared" si="49"/>
        <v>0</v>
      </c>
      <c r="P308" s="1007">
        <f t="shared" si="50"/>
        <v>0</v>
      </c>
      <c r="Q308" s="1207"/>
      <c r="R308" s="445"/>
      <c r="S308" s="445">
        <v>2</v>
      </c>
      <c r="T308" s="991">
        <f t="shared" si="51"/>
        <v>0</v>
      </c>
      <c r="U308" s="1008"/>
    </row>
    <row r="309" spans="1:21" ht="18.75" customHeight="1">
      <c r="A309" s="1170" t="s">
        <v>1496</v>
      </c>
      <c r="B309" s="1170"/>
      <c r="C309" s="1170"/>
      <c r="D309" s="1170"/>
      <c r="E309" s="1170"/>
      <c r="F309" s="1170"/>
      <c r="G309" s="1170"/>
      <c r="H309" s="1170"/>
      <c r="I309" s="1170"/>
      <c r="J309" s="1170"/>
      <c r="K309" s="1170"/>
      <c r="L309" s="1007">
        <f>SUM(L310:L388)</f>
        <v>5239411351</v>
      </c>
      <c r="M309" s="1007">
        <f>SUM(M310:M388)</f>
        <v>0</v>
      </c>
      <c r="N309" s="1007">
        <f>SUM(N310:N388)</f>
        <v>2677775404</v>
      </c>
      <c r="O309" s="1007">
        <f>SUM(O310:O388)</f>
        <v>2155556957</v>
      </c>
      <c r="P309" s="1007">
        <f>SUM(P310:P388)</f>
        <v>406078990</v>
      </c>
      <c r="R309" s="445"/>
      <c r="S309" s="445"/>
      <c r="T309" s="991"/>
      <c r="U309" s="1008"/>
    </row>
    <row r="310" spans="1:21" ht="15.75">
      <c r="A310" s="473">
        <v>300</v>
      </c>
      <c r="B310" s="819" t="s">
        <v>1497</v>
      </c>
      <c r="C310" s="465">
        <v>1000114014</v>
      </c>
      <c r="D310" s="470">
        <v>10</v>
      </c>
      <c r="E310" s="819" t="s">
        <v>1314</v>
      </c>
      <c r="F310" s="473"/>
      <c r="G310" s="470"/>
      <c r="H310" s="470">
        <v>5</v>
      </c>
      <c r="I310" s="470">
        <v>5</v>
      </c>
      <c r="J310" s="470"/>
      <c r="K310" s="488">
        <v>1707396</v>
      </c>
      <c r="L310" s="1007">
        <f>K310*D310</f>
        <v>17073960</v>
      </c>
      <c r="M310" s="1007">
        <f>K310*G310</f>
        <v>0</v>
      </c>
      <c r="N310" s="1007">
        <f>K310*H310</f>
        <v>8536980</v>
      </c>
      <c r="O310" s="1007">
        <f>K310*I310</f>
        <v>8536980</v>
      </c>
      <c r="P310" s="1007">
        <f>K310*J310</f>
        <v>0</v>
      </c>
      <c r="Q310" s="1206" t="s">
        <v>4235</v>
      </c>
      <c r="R310" s="1201" t="s">
        <v>4880</v>
      </c>
      <c r="S310" s="445">
        <v>5</v>
      </c>
      <c r="T310" s="991">
        <f t="shared" si="51"/>
        <v>5</v>
      </c>
      <c r="U310" s="1008">
        <v>7238635</v>
      </c>
    </row>
    <row r="311" spans="1:21" ht="15.75">
      <c r="A311" s="473">
        <v>301</v>
      </c>
      <c r="B311" s="819" t="s">
        <v>1498</v>
      </c>
      <c r="C311" s="465">
        <v>1000114242</v>
      </c>
      <c r="D311" s="470">
        <v>2</v>
      </c>
      <c r="E311" s="819" t="s">
        <v>1314</v>
      </c>
      <c r="F311" s="473"/>
      <c r="G311" s="470"/>
      <c r="H311" s="470">
        <v>1</v>
      </c>
      <c r="I311" s="470">
        <v>1</v>
      </c>
      <c r="J311" s="470"/>
      <c r="K311" s="488">
        <v>131383979</v>
      </c>
      <c r="L311" s="1007">
        <f t="shared" ref="L311:L374" si="52">K311*D311</f>
        <v>262767958</v>
      </c>
      <c r="M311" s="1007">
        <f t="shared" ref="M311:M374" si="53">K311*G311</f>
        <v>0</v>
      </c>
      <c r="N311" s="1007">
        <f t="shared" ref="N311:N374" si="54">K311*H311</f>
        <v>131383979</v>
      </c>
      <c r="O311" s="1007">
        <f t="shared" ref="O311:O374" si="55">K311*I311</f>
        <v>131383979</v>
      </c>
      <c r="P311" s="1007">
        <f t="shared" ref="P311:P374" si="56">K311*J311</f>
        <v>0</v>
      </c>
      <c r="Q311" s="1207"/>
      <c r="R311" s="1202"/>
      <c r="S311" s="445">
        <v>1</v>
      </c>
      <c r="T311" s="991">
        <f t="shared" si="51"/>
        <v>1</v>
      </c>
      <c r="U311" s="1008">
        <v>107233397</v>
      </c>
    </row>
    <row r="312" spans="1:21" ht="15.75">
      <c r="A312" s="473">
        <v>302</v>
      </c>
      <c r="B312" s="819" t="s">
        <v>1499</v>
      </c>
      <c r="C312" s="465">
        <v>1000114243</v>
      </c>
      <c r="D312" s="470">
        <v>1</v>
      </c>
      <c r="E312" s="819" t="s">
        <v>1314</v>
      </c>
      <c r="F312" s="473"/>
      <c r="G312" s="470"/>
      <c r="H312" s="470">
        <v>1</v>
      </c>
      <c r="I312" s="470"/>
      <c r="J312" s="470"/>
      <c r="K312" s="488">
        <v>59803639</v>
      </c>
      <c r="L312" s="1007">
        <f t="shared" si="52"/>
        <v>59803639</v>
      </c>
      <c r="M312" s="1007">
        <f t="shared" si="53"/>
        <v>0</v>
      </c>
      <c r="N312" s="1007">
        <f t="shared" si="54"/>
        <v>59803639</v>
      </c>
      <c r="O312" s="1007">
        <f t="shared" si="55"/>
        <v>0</v>
      </c>
      <c r="P312" s="1007">
        <f t="shared" si="56"/>
        <v>0</v>
      </c>
      <c r="Q312" s="1207"/>
      <c r="R312" s="1202"/>
      <c r="S312" s="445">
        <v>1</v>
      </c>
      <c r="T312" s="991">
        <f t="shared" si="51"/>
        <v>0</v>
      </c>
      <c r="U312" s="1008">
        <v>56379837</v>
      </c>
    </row>
    <row r="313" spans="1:21" ht="15.75">
      <c r="A313" s="473">
        <v>303</v>
      </c>
      <c r="B313" s="819" t="s">
        <v>1500</v>
      </c>
      <c r="C313" s="465">
        <v>1000114244</v>
      </c>
      <c r="D313" s="470">
        <v>3</v>
      </c>
      <c r="E313" s="819" t="s">
        <v>1314</v>
      </c>
      <c r="F313" s="473"/>
      <c r="G313" s="470"/>
      <c r="H313" s="470">
        <v>2</v>
      </c>
      <c r="I313" s="470">
        <v>1</v>
      </c>
      <c r="J313" s="470"/>
      <c r="K313" s="488">
        <v>53948894</v>
      </c>
      <c r="L313" s="1007">
        <f t="shared" si="52"/>
        <v>161846682</v>
      </c>
      <c r="M313" s="1007">
        <f t="shared" si="53"/>
        <v>0</v>
      </c>
      <c r="N313" s="1007">
        <f t="shared" si="54"/>
        <v>107897788</v>
      </c>
      <c r="O313" s="1007">
        <f t="shared" si="55"/>
        <v>53948894</v>
      </c>
      <c r="P313" s="1007">
        <f t="shared" si="56"/>
        <v>0</v>
      </c>
      <c r="Q313" s="1207"/>
      <c r="R313" s="1202"/>
      <c r="S313" s="445">
        <v>2</v>
      </c>
      <c r="T313" s="991">
        <f t="shared" si="51"/>
        <v>1</v>
      </c>
      <c r="U313" s="1008">
        <v>101707120</v>
      </c>
    </row>
    <row r="314" spans="1:21" ht="15.75">
      <c r="A314" s="473">
        <v>304</v>
      </c>
      <c r="B314" s="819" t="s">
        <v>1447</v>
      </c>
      <c r="C314" s="465">
        <v>1000114079</v>
      </c>
      <c r="D314" s="470">
        <v>5</v>
      </c>
      <c r="E314" s="819" t="s">
        <v>1314</v>
      </c>
      <c r="F314" s="473"/>
      <c r="G314" s="470"/>
      <c r="H314" s="470">
        <v>5</v>
      </c>
      <c r="I314" s="470"/>
      <c r="J314" s="470"/>
      <c r="K314" s="488">
        <v>1408728</v>
      </c>
      <c r="L314" s="1007">
        <f t="shared" si="52"/>
        <v>7043640</v>
      </c>
      <c r="M314" s="1007">
        <f t="shared" si="53"/>
        <v>0</v>
      </c>
      <c r="N314" s="1007">
        <f t="shared" si="54"/>
        <v>7043640</v>
      </c>
      <c r="O314" s="1007">
        <f t="shared" si="55"/>
        <v>0</v>
      </c>
      <c r="P314" s="1007">
        <f t="shared" si="56"/>
        <v>0</v>
      </c>
      <c r="Q314" s="1207"/>
      <c r="R314" s="1202"/>
      <c r="S314" s="445">
        <v>5</v>
      </c>
      <c r="T314" s="991">
        <f t="shared" si="51"/>
        <v>0</v>
      </c>
      <c r="U314" s="1008">
        <v>6631530</v>
      </c>
    </row>
    <row r="315" spans="1:21" ht="15.75">
      <c r="A315" s="473">
        <v>305</v>
      </c>
      <c r="B315" s="819" t="s">
        <v>1447</v>
      </c>
      <c r="C315" s="465">
        <v>1000114080</v>
      </c>
      <c r="D315" s="470">
        <v>20</v>
      </c>
      <c r="E315" s="819" t="s">
        <v>1314</v>
      </c>
      <c r="F315" s="473"/>
      <c r="G315" s="470"/>
      <c r="H315" s="470">
        <v>10</v>
      </c>
      <c r="I315" s="470">
        <v>10</v>
      </c>
      <c r="J315" s="470"/>
      <c r="K315" s="488">
        <v>2708774</v>
      </c>
      <c r="L315" s="1007">
        <f t="shared" si="52"/>
        <v>54175480</v>
      </c>
      <c r="M315" s="1007">
        <f t="shared" si="53"/>
        <v>0</v>
      </c>
      <c r="N315" s="1007">
        <f t="shared" si="54"/>
        <v>27087740</v>
      </c>
      <c r="O315" s="1007">
        <f t="shared" si="55"/>
        <v>27087740</v>
      </c>
      <c r="P315" s="1007">
        <f t="shared" si="56"/>
        <v>0</v>
      </c>
      <c r="Q315" s="1207"/>
      <c r="R315" s="1202"/>
      <c r="S315" s="445">
        <v>10</v>
      </c>
      <c r="T315" s="991">
        <f t="shared" si="51"/>
        <v>10</v>
      </c>
      <c r="U315" s="1008">
        <v>22105110</v>
      </c>
    </row>
    <row r="316" spans="1:21" ht="15.75">
      <c r="A316" s="473">
        <v>306</v>
      </c>
      <c r="B316" s="819" t="s">
        <v>1447</v>
      </c>
      <c r="C316" s="465">
        <v>1000114081</v>
      </c>
      <c r="D316" s="470">
        <v>5</v>
      </c>
      <c r="E316" s="819" t="s">
        <v>1314</v>
      </c>
      <c r="F316" s="473"/>
      <c r="G316" s="470"/>
      <c r="H316" s="470">
        <v>5</v>
      </c>
      <c r="I316" s="470"/>
      <c r="J316" s="470"/>
      <c r="K316" s="488">
        <v>3248975</v>
      </c>
      <c r="L316" s="1007">
        <f t="shared" si="52"/>
        <v>16244875</v>
      </c>
      <c r="M316" s="1007">
        <f t="shared" si="53"/>
        <v>0</v>
      </c>
      <c r="N316" s="1007">
        <f t="shared" si="54"/>
        <v>16244875</v>
      </c>
      <c r="O316" s="1007">
        <f t="shared" si="55"/>
        <v>0</v>
      </c>
      <c r="P316" s="1007">
        <f t="shared" si="56"/>
        <v>0</v>
      </c>
      <c r="Q316" s="1207"/>
      <c r="R316" s="1202"/>
      <c r="S316" s="445">
        <v>5</v>
      </c>
      <c r="T316" s="991">
        <f t="shared" si="51"/>
        <v>0</v>
      </c>
      <c r="U316" s="1008">
        <v>13263065</v>
      </c>
    </row>
    <row r="317" spans="1:21" ht="15.75">
      <c r="A317" s="473">
        <v>307</v>
      </c>
      <c r="B317" s="819" t="s">
        <v>1501</v>
      </c>
      <c r="C317" s="465">
        <v>1000114343</v>
      </c>
      <c r="D317" s="470">
        <v>10</v>
      </c>
      <c r="E317" s="819" t="s">
        <v>1314</v>
      </c>
      <c r="F317" s="473"/>
      <c r="G317" s="470"/>
      <c r="H317" s="470">
        <v>5</v>
      </c>
      <c r="I317" s="470">
        <v>5</v>
      </c>
      <c r="J317" s="470"/>
      <c r="K317" s="488">
        <v>7720849</v>
      </c>
      <c r="L317" s="1007">
        <f t="shared" si="52"/>
        <v>77208490</v>
      </c>
      <c r="M317" s="1007">
        <f t="shared" si="53"/>
        <v>0</v>
      </c>
      <c r="N317" s="1007">
        <f t="shared" si="54"/>
        <v>38604245</v>
      </c>
      <c r="O317" s="1007">
        <f t="shared" si="55"/>
        <v>38604245</v>
      </c>
      <c r="P317" s="1007">
        <f t="shared" si="56"/>
        <v>0</v>
      </c>
      <c r="Q317" s="1207"/>
      <c r="R317" s="1202"/>
      <c r="S317" s="445">
        <v>5</v>
      </c>
      <c r="T317" s="991">
        <f t="shared" si="51"/>
        <v>5</v>
      </c>
      <c r="U317" s="1008">
        <v>32769600</v>
      </c>
    </row>
    <row r="318" spans="1:21" ht="15.75">
      <c r="A318" s="473">
        <v>308</v>
      </c>
      <c r="B318" s="819" t="s">
        <v>1502</v>
      </c>
      <c r="C318" s="465">
        <v>1000115156</v>
      </c>
      <c r="D318" s="470">
        <v>30</v>
      </c>
      <c r="E318" s="819" t="s">
        <v>1314</v>
      </c>
      <c r="F318" s="473"/>
      <c r="G318" s="470"/>
      <c r="H318" s="470">
        <v>10</v>
      </c>
      <c r="I318" s="470">
        <v>10</v>
      </c>
      <c r="J318" s="470">
        <v>10</v>
      </c>
      <c r="K318" s="488">
        <v>2844796</v>
      </c>
      <c r="L318" s="1007">
        <f t="shared" si="52"/>
        <v>85343880</v>
      </c>
      <c r="M318" s="1007">
        <f t="shared" si="53"/>
        <v>0</v>
      </c>
      <c r="N318" s="1007">
        <f t="shared" si="54"/>
        <v>28447960</v>
      </c>
      <c r="O318" s="1007">
        <f t="shared" si="55"/>
        <v>28447960</v>
      </c>
      <c r="P318" s="1007">
        <f t="shared" si="56"/>
        <v>28447960</v>
      </c>
      <c r="Q318" s="1207"/>
      <c r="R318" s="1202"/>
      <c r="S318" s="445">
        <v>10</v>
      </c>
      <c r="T318" s="991">
        <f t="shared" si="51"/>
        <v>20</v>
      </c>
      <c r="U318" s="1008">
        <v>23210360</v>
      </c>
    </row>
    <row r="319" spans="1:21" ht="15.75">
      <c r="A319" s="473">
        <v>309</v>
      </c>
      <c r="B319" s="819" t="s">
        <v>1460</v>
      </c>
      <c r="C319" s="465">
        <v>1000113657</v>
      </c>
      <c r="D319" s="470">
        <v>10</v>
      </c>
      <c r="E319" s="819" t="s">
        <v>1314</v>
      </c>
      <c r="F319" s="473"/>
      <c r="G319" s="470"/>
      <c r="H319" s="470">
        <v>5</v>
      </c>
      <c r="I319" s="470">
        <v>5</v>
      </c>
      <c r="J319" s="470"/>
      <c r="K319" s="488">
        <v>746176</v>
      </c>
      <c r="L319" s="1007">
        <f t="shared" si="52"/>
        <v>7461760</v>
      </c>
      <c r="M319" s="1007">
        <f t="shared" si="53"/>
        <v>0</v>
      </c>
      <c r="N319" s="1007">
        <f t="shared" si="54"/>
        <v>3730880</v>
      </c>
      <c r="O319" s="1007">
        <f t="shared" si="55"/>
        <v>3730880</v>
      </c>
      <c r="P319" s="1007">
        <f t="shared" si="56"/>
        <v>0</v>
      </c>
      <c r="Q319" s="1207"/>
      <c r="R319" s="1202"/>
      <c r="S319" s="445">
        <v>5</v>
      </c>
      <c r="T319" s="991">
        <f t="shared" si="51"/>
        <v>5</v>
      </c>
      <c r="U319" s="1008">
        <v>3160795</v>
      </c>
    </row>
    <row r="320" spans="1:21" ht="15.75">
      <c r="A320" s="473">
        <v>310</v>
      </c>
      <c r="B320" s="819" t="s">
        <v>1447</v>
      </c>
      <c r="C320" s="465">
        <v>1000115348</v>
      </c>
      <c r="D320" s="470">
        <v>5</v>
      </c>
      <c r="E320" s="819" t="s">
        <v>1314</v>
      </c>
      <c r="F320" s="473"/>
      <c r="G320" s="470"/>
      <c r="H320" s="470">
        <v>5</v>
      </c>
      <c r="I320" s="470"/>
      <c r="J320" s="470"/>
      <c r="K320" s="488">
        <v>743585</v>
      </c>
      <c r="L320" s="1007">
        <f t="shared" si="52"/>
        <v>3717925</v>
      </c>
      <c r="M320" s="1007">
        <f t="shared" si="53"/>
        <v>0</v>
      </c>
      <c r="N320" s="1007">
        <f t="shared" si="54"/>
        <v>3717925</v>
      </c>
      <c r="O320" s="1007">
        <f t="shared" si="55"/>
        <v>0</v>
      </c>
      <c r="P320" s="1007">
        <f t="shared" si="56"/>
        <v>0</v>
      </c>
      <c r="Q320" s="1207"/>
      <c r="R320" s="1202"/>
      <c r="S320" s="445">
        <v>5</v>
      </c>
      <c r="T320" s="991">
        <f t="shared" si="51"/>
        <v>0</v>
      </c>
      <c r="U320" s="1008">
        <v>3039450</v>
      </c>
    </row>
    <row r="321" spans="1:21" ht="15.75">
      <c r="A321" s="473">
        <v>311</v>
      </c>
      <c r="B321" s="819" t="s">
        <v>1401</v>
      </c>
      <c r="C321" s="465">
        <v>1000113777</v>
      </c>
      <c r="D321" s="470">
        <v>80</v>
      </c>
      <c r="E321" s="819" t="s">
        <v>1314</v>
      </c>
      <c r="F321" s="473"/>
      <c r="G321" s="470"/>
      <c r="H321" s="470">
        <v>40</v>
      </c>
      <c r="I321" s="470">
        <v>40</v>
      </c>
      <c r="J321" s="470"/>
      <c r="K321" s="488">
        <v>311554</v>
      </c>
      <c r="L321" s="1007">
        <f t="shared" si="52"/>
        <v>24924320</v>
      </c>
      <c r="M321" s="1007">
        <f t="shared" si="53"/>
        <v>0</v>
      </c>
      <c r="N321" s="1007">
        <f t="shared" si="54"/>
        <v>12462160</v>
      </c>
      <c r="O321" s="1007">
        <f t="shared" si="55"/>
        <v>12462160</v>
      </c>
      <c r="P321" s="1007">
        <f t="shared" si="56"/>
        <v>0</v>
      </c>
      <c r="Q321" s="1207"/>
      <c r="R321" s="1202"/>
      <c r="S321" s="445">
        <v>40</v>
      </c>
      <c r="T321" s="991">
        <f t="shared" si="51"/>
        <v>40</v>
      </c>
      <c r="U321" s="1008">
        <v>10576760</v>
      </c>
    </row>
    <row r="322" spans="1:21" ht="15.75">
      <c r="A322" s="473">
        <v>312</v>
      </c>
      <c r="B322" s="819" t="s">
        <v>1427</v>
      </c>
      <c r="C322" s="465">
        <v>1000113831</v>
      </c>
      <c r="D322" s="470">
        <v>300</v>
      </c>
      <c r="E322" s="819" t="s">
        <v>1314</v>
      </c>
      <c r="F322" s="473"/>
      <c r="G322" s="470"/>
      <c r="H322" s="470">
        <v>150</v>
      </c>
      <c r="I322" s="470">
        <v>150</v>
      </c>
      <c r="J322" s="470"/>
      <c r="K322" s="488">
        <v>13559</v>
      </c>
      <c r="L322" s="1007">
        <f t="shared" si="52"/>
        <v>4067700</v>
      </c>
      <c r="M322" s="1007">
        <f t="shared" si="53"/>
        <v>0</v>
      </c>
      <c r="N322" s="1007">
        <f t="shared" si="54"/>
        <v>2033850</v>
      </c>
      <c r="O322" s="1007">
        <f t="shared" si="55"/>
        <v>2033850</v>
      </c>
      <c r="P322" s="1007">
        <f t="shared" si="56"/>
        <v>0</v>
      </c>
      <c r="Q322" s="1207"/>
      <c r="R322" s="1202"/>
      <c r="S322" s="445">
        <v>150</v>
      </c>
      <c r="T322" s="991">
        <f t="shared" si="51"/>
        <v>150</v>
      </c>
      <c r="U322" s="1008">
        <v>1724100</v>
      </c>
    </row>
    <row r="323" spans="1:21" ht="15.75">
      <c r="A323" s="473">
        <v>313</v>
      </c>
      <c r="B323" s="819" t="s">
        <v>927</v>
      </c>
      <c r="C323" s="465">
        <v>1000113758</v>
      </c>
      <c r="D323" s="470">
        <v>20</v>
      </c>
      <c r="E323" s="819" t="s">
        <v>1314</v>
      </c>
      <c r="F323" s="473"/>
      <c r="G323" s="470"/>
      <c r="H323" s="470">
        <v>10</v>
      </c>
      <c r="I323" s="470">
        <v>10</v>
      </c>
      <c r="J323" s="470"/>
      <c r="K323" s="488">
        <v>4294398</v>
      </c>
      <c r="L323" s="1007">
        <f t="shared" si="52"/>
        <v>85887960</v>
      </c>
      <c r="M323" s="1007">
        <f t="shared" si="53"/>
        <v>0</v>
      </c>
      <c r="N323" s="1007">
        <f t="shared" si="54"/>
        <v>42943980</v>
      </c>
      <c r="O323" s="1007">
        <f t="shared" si="55"/>
        <v>42943980</v>
      </c>
      <c r="P323" s="1007">
        <f t="shared" si="56"/>
        <v>0</v>
      </c>
      <c r="Q323" s="1207"/>
      <c r="R323" s="1202"/>
      <c r="S323" s="445">
        <v>10</v>
      </c>
      <c r="T323" s="991">
        <f t="shared" si="51"/>
        <v>10</v>
      </c>
      <c r="U323" s="1008">
        <v>36437790</v>
      </c>
    </row>
    <row r="324" spans="1:21" ht="15.75">
      <c r="A324" s="473">
        <v>314</v>
      </c>
      <c r="B324" s="819" t="s">
        <v>927</v>
      </c>
      <c r="C324" s="465" t="s">
        <v>1503</v>
      </c>
      <c r="D324" s="470">
        <v>10</v>
      </c>
      <c r="E324" s="819" t="s">
        <v>1314</v>
      </c>
      <c r="F324" s="473"/>
      <c r="G324" s="470"/>
      <c r="H324" s="470">
        <v>5</v>
      </c>
      <c r="I324" s="470">
        <v>5</v>
      </c>
      <c r="J324" s="470"/>
      <c r="K324" s="488">
        <v>2764479</v>
      </c>
      <c r="L324" s="1007">
        <f t="shared" si="52"/>
        <v>27644790</v>
      </c>
      <c r="M324" s="1007">
        <f t="shared" si="53"/>
        <v>0</v>
      </c>
      <c r="N324" s="1007">
        <f t="shared" si="54"/>
        <v>13822395</v>
      </c>
      <c r="O324" s="1007">
        <f t="shared" si="55"/>
        <v>13822395</v>
      </c>
      <c r="P324" s="1007">
        <f t="shared" si="56"/>
        <v>0</v>
      </c>
      <c r="Q324" s="1207"/>
      <c r="R324" s="1202"/>
      <c r="S324" s="445">
        <v>5</v>
      </c>
      <c r="T324" s="991">
        <f t="shared" si="51"/>
        <v>5</v>
      </c>
      <c r="U324" s="1008">
        <v>11726130</v>
      </c>
    </row>
    <row r="325" spans="1:21" ht="15.75">
      <c r="A325" s="473">
        <v>315</v>
      </c>
      <c r="B325" s="819" t="s">
        <v>1504</v>
      </c>
      <c r="C325" s="465">
        <v>1000113950</v>
      </c>
      <c r="D325" s="470">
        <v>1</v>
      </c>
      <c r="E325" s="819" t="s">
        <v>1314</v>
      </c>
      <c r="F325" s="473"/>
      <c r="G325" s="470"/>
      <c r="H325" s="470">
        <v>1</v>
      </c>
      <c r="I325" s="470"/>
      <c r="J325" s="470"/>
      <c r="K325" s="694">
        <v>8279598</v>
      </c>
      <c r="L325" s="1007" t="s">
        <v>3047</v>
      </c>
      <c r="M325" s="1007" t="s">
        <v>3047</v>
      </c>
      <c r="N325" s="1007" t="s">
        <v>3047</v>
      </c>
      <c r="O325" s="1007" t="s">
        <v>3047</v>
      </c>
      <c r="P325" s="1007" t="s">
        <v>3047</v>
      </c>
      <c r="Q325" s="1207"/>
      <c r="R325" s="1202"/>
      <c r="S325" s="445">
        <v>1</v>
      </c>
      <c r="T325" s="991">
        <f t="shared" si="51"/>
        <v>0</v>
      </c>
      <c r="U325" s="1008">
        <v>6960746</v>
      </c>
    </row>
    <row r="326" spans="1:21" ht="15.75">
      <c r="A326" s="473">
        <v>316</v>
      </c>
      <c r="B326" s="819" t="s">
        <v>1364</v>
      </c>
      <c r="C326" s="465">
        <v>1000113952</v>
      </c>
      <c r="D326" s="470">
        <v>20</v>
      </c>
      <c r="E326" s="819" t="s">
        <v>1314</v>
      </c>
      <c r="F326" s="473"/>
      <c r="G326" s="470"/>
      <c r="H326" s="470">
        <v>10</v>
      </c>
      <c r="I326" s="470">
        <v>10</v>
      </c>
      <c r="J326" s="470"/>
      <c r="K326" s="488">
        <v>7387970</v>
      </c>
      <c r="L326" s="1007">
        <f t="shared" si="52"/>
        <v>147759400</v>
      </c>
      <c r="M326" s="1007">
        <f t="shared" si="53"/>
        <v>0</v>
      </c>
      <c r="N326" s="1007">
        <f t="shared" si="54"/>
        <v>73879700</v>
      </c>
      <c r="O326" s="1007">
        <f t="shared" si="55"/>
        <v>73879700</v>
      </c>
      <c r="P326" s="1007">
        <f t="shared" si="56"/>
        <v>0</v>
      </c>
      <c r="Q326" s="1207"/>
      <c r="R326" s="1202"/>
      <c r="S326" s="445">
        <v>10</v>
      </c>
      <c r="T326" s="991">
        <f t="shared" si="51"/>
        <v>10</v>
      </c>
      <c r="U326" s="1008">
        <v>69642900</v>
      </c>
    </row>
    <row r="327" spans="1:21" ht="15.75">
      <c r="A327" s="473">
        <v>317</v>
      </c>
      <c r="B327" s="819" t="s">
        <v>1365</v>
      </c>
      <c r="C327" s="465">
        <v>1000113954</v>
      </c>
      <c r="D327" s="470">
        <v>20</v>
      </c>
      <c r="E327" s="819" t="s">
        <v>1314</v>
      </c>
      <c r="F327" s="473"/>
      <c r="G327" s="470"/>
      <c r="H327" s="470">
        <v>10</v>
      </c>
      <c r="I327" s="470">
        <v>10</v>
      </c>
      <c r="J327" s="470"/>
      <c r="K327" s="488">
        <v>7387970</v>
      </c>
      <c r="L327" s="1007">
        <f t="shared" si="52"/>
        <v>147759400</v>
      </c>
      <c r="M327" s="1007">
        <f t="shared" si="53"/>
        <v>0</v>
      </c>
      <c r="N327" s="1007">
        <f t="shared" si="54"/>
        <v>73879700</v>
      </c>
      <c r="O327" s="1007">
        <f t="shared" si="55"/>
        <v>73879700</v>
      </c>
      <c r="P327" s="1007">
        <f t="shared" si="56"/>
        <v>0</v>
      </c>
      <c r="Q327" s="1207"/>
      <c r="R327" s="1202"/>
      <c r="S327" s="445">
        <v>10</v>
      </c>
      <c r="T327" s="991">
        <f t="shared" si="51"/>
        <v>10</v>
      </c>
      <c r="U327" s="1008">
        <v>69642900</v>
      </c>
    </row>
    <row r="328" spans="1:21" ht="15.75">
      <c r="A328" s="473">
        <v>318</v>
      </c>
      <c r="B328" s="819" t="s">
        <v>1505</v>
      </c>
      <c r="C328" s="465">
        <v>1000114638</v>
      </c>
      <c r="D328" s="470">
        <v>5</v>
      </c>
      <c r="E328" s="819" t="s">
        <v>1314</v>
      </c>
      <c r="F328" s="473"/>
      <c r="G328" s="470"/>
      <c r="H328" s="470">
        <v>3</v>
      </c>
      <c r="I328" s="470">
        <v>2</v>
      </c>
      <c r="J328" s="470"/>
      <c r="K328" s="488">
        <v>7389092</v>
      </c>
      <c r="L328" s="1007">
        <f t="shared" si="52"/>
        <v>36945460</v>
      </c>
      <c r="M328" s="1007">
        <f t="shared" si="53"/>
        <v>0</v>
      </c>
      <c r="N328" s="1007">
        <f t="shared" si="54"/>
        <v>22167276</v>
      </c>
      <c r="O328" s="1007">
        <f t="shared" si="55"/>
        <v>14778184</v>
      </c>
      <c r="P328" s="1007">
        <f t="shared" si="56"/>
        <v>0</v>
      </c>
      <c r="Q328" s="1207"/>
      <c r="R328" s="1202"/>
      <c r="S328" s="445">
        <v>3</v>
      </c>
      <c r="T328" s="991">
        <f t="shared" si="51"/>
        <v>2</v>
      </c>
      <c r="U328" s="1008">
        <v>20894052</v>
      </c>
    </row>
    <row r="329" spans="1:21" ht="15.75">
      <c r="A329" s="473">
        <v>319</v>
      </c>
      <c r="B329" s="819" t="s">
        <v>927</v>
      </c>
      <c r="C329" s="465">
        <v>1000115619</v>
      </c>
      <c r="D329" s="470">
        <v>5</v>
      </c>
      <c r="E329" s="819" t="s">
        <v>1314</v>
      </c>
      <c r="F329" s="473"/>
      <c r="G329" s="470"/>
      <c r="H329" s="470">
        <v>5</v>
      </c>
      <c r="I329" s="470"/>
      <c r="J329" s="470"/>
      <c r="K329" s="488">
        <v>10695565</v>
      </c>
      <c r="L329" s="1007">
        <f t="shared" si="52"/>
        <v>53477825</v>
      </c>
      <c r="M329" s="1007">
        <f t="shared" si="53"/>
        <v>0</v>
      </c>
      <c r="N329" s="1007">
        <f t="shared" si="54"/>
        <v>53477825</v>
      </c>
      <c r="O329" s="1007">
        <f t="shared" si="55"/>
        <v>0</v>
      </c>
      <c r="P329" s="1007">
        <f t="shared" si="56"/>
        <v>0</v>
      </c>
      <c r="Q329" s="1207"/>
      <c r="R329" s="1202"/>
      <c r="S329" s="445">
        <v>5</v>
      </c>
      <c r="T329" s="991">
        <f t="shared" si="51"/>
        <v>0</v>
      </c>
      <c r="U329" s="1008">
        <v>52419075</v>
      </c>
    </row>
    <row r="330" spans="1:21" ht="15.75">
      <c r="A330" s="473">
        <v>320</v>
      </c>
      <c r="B330" s="819" t="s">
        <v>1434</v>
      </c>
      <c r="C330" s="465">
        <v>1000113940</v>
      </c>
      <c r="D330" s="470">
        <v>5</v>
      </c>
      <c r="E330" s="819" t="s">
        <v>1314</v>
      </c>
      <c r="F330" s="473"/>
      <c r="G330" s="470"/>
      <c r="H330" s="470">
        <v>5</v>
      </c>
      <c r="I330" s="470"/>
      <c r="J330" s="470"/>
      <c r="K330" s="488">
        <v>388073</v>
      </c>
      <c r="L330" s="1007">
        <f t="shared" si="52"/>
        <v>1940365</v>
      </c>
      <c r="M330" s="1007">
        <f t="shared" si="53"/>
        <v>0</v>
      </c>
      <c r="N330" s="1007">
        <f t="shared" si="54"/>
        <v>1940365</v>
      </c>
      <c r="O330" s="1007">
        <f t="shared" si="55"/>
        <v>0</v>
      </c>
      <c r="P330" s="1007">
        <f t="shared" si="56"/>
        <v>0</v>
      </c>
      <c r="Q330" s="1207"/>
      <c r="R330" s="1202"/>
      <c r="S330" s="445">
        <v>5</v>
      </c>
      <c r="T330" s="991">
        <f t="shared" si="51"/>
        <v>0</v>
      </c>
      <c r="U330" s="1008">
        <v>1901390</v>
      </c>
    </row>
    <row r="331" spans="1:21" ht="15.75">
      <c r="A331" s="473">
        <v>321</v>
      </c>
      <c r="B331" s="819" t="s">
        <v>1506</v>
      </c>
      <c r="C331" s="465">
        <v>1000113931</v>
      </c>
      <c r="D331" s="470">
        <v>140</v>
      </c>
      <c r="E331" s="819" t="s">
        <v>1314</v>
      </c>
      <c r="F331" s="473"/>
      <c r="G331" s="470"/>
      <c r="H331" s="470"/>
      <c r="I331" s="470">
        <v>70</v>
      </c>
      <c r="J331" s="470">
        <v>70</v>
      </c>
      <c r="K331" s="488">
        <v>5394729</v>
      </c>
      <c r="L331" s="1007">
        <f t="shared" si="52"/>
        <v>755262060</v>
      </c>
      <c r="M331" s="1007">
        <f t="shared" si="53"/>
        <v>0</v>
      </c>
      <c r="N331" s="1007">
        <f t="shared" si="54"/>
        <v>0</v>
      </c>
      <c r="O331" s="1007">
        <f t="shared" si="55"/>
        <v>377631030</v>
      </c>
      <c r="P331" s="1007">
        <f t="shared" si="56"/>
        <v>377631030</v>
      </c>
      <c r="Q331" s="1207"/>
      <c r="R331" s="1202"/>
      <c r="S331" s="445"/>
      <c r="T331" s="991">
        <f t="shared" si="51"/>
        <v>140</v>
      </c>
      <c r="U331" s="1008"/>
    </row>
    <row r="332" spans="1:21" ht="15.75">
      <c r="A332" s="473">
        <v>322</v>
      </c>
      <c r="B332" s="819" t="s">
        <v>1507</v>
      </c>
      <c r="C332" s="465">
        <v>1000114015</v>
      </c>
      <c r="D332" s="470">
        <v>5</v>
      </c>
      <c r="E332" s="819" t="s">
        <v>1314</v>
      </c>
      <c r="F332" s="473"/>
      <c r="G332" s="470"/>
      <c r="H332" s="470"/>
      <c r="I332" s="470">
        <v>5</v>
      </c>
      <c r="J332" s="470"/>
      <c r="K332" s="488">
        <v>19937537</v>
      </c>
      <c r="L332" s="1007">
        <f t="shared" si="52"/>
        <v>99687685</v>
      </c>
      <c r="M332" s="1007">
        <f t="shared" si="53"/>
        <v>0</v>
      </c>
      <c r="N332" s="1007">
        <f t="shared" si="54"/>
        <v>0</v>
      </c>
      <c r="O332" s="1007">
        <f t="shared" si="55"/>
        <v>99687685</v>
      </c>
      <c r="P332" s="1007">
        <f t="shared" si="56"/>
        <v>0</v>
      </c>
      <c r="Q332" s="1207"/>
      <c r="R332" s="1202"/>
      <c r="S332" s="445"/>
      <c r="T332" s="991">
        <f t="shared" si="51"/>
        <v>5</v>
      </c>
      <c r="U332" s="1008"/>
    </row>
    <row r="333" spans="1:21" ht="15.75">
      <c r="A333" s="473">
        <v>323</v>
      </c>
      <c r="B333" s="819" t="s">
        <v>1423</v>
      </c>
      <c r="C333" s="465">
        <v>1000114016</v>
      </c>
      <c r="D333" s="470">
        <v>4</v>
      </c>
      <c r="E333" s="819" t="s">
        <v>1314</v>
      </c>
      <c r="F333" s="473"/>
      <c r="G333" s="470"/>
      <c r="H333" s="470">
        <v>2</v>
      </c>
      <c r="I333" s="470">
        <v>2</v>
      </c>
      <c r="J333" s="470"/>
      <c r="K333" s="488">
        <v>143076730</v>
      </c>
      <c r="L333" s="1007">
        <f t="shared" si="52"/>
        <v>572306920</v>
      </c>
      <c r="M333" s="1007">
        <f t="shared" si="53"/>
        <v>0</v>
      </c>
      <c r="N333" s="1007">
        <f t="shared" si="54"/>
        <v>286153460</v>
      </c>
      <c r="O333" s="1007">
        <f t="shared" si="55"/>
        <v>286153460</v>
      </c>
      <c r="P333" s="1007">
        <f t="shared" si="56"/>
        <v>0</v>
      </c>
      <c r="Q333" s="1207"/>
      <c r="R333" s="1202"/>
      <c r="S333" s="445">
        <v>2</v>
      </c>
      <c r="T333" s="991">
        <f t="shared" si="51"/>
        <v>2</v>
      </c>
      <c r="U333" s="1008">
        <v>280510016</v>
      </c>
    </row>
    <row r="334" spans="1:21" ht="15.75">
      <c r="A334" s="473">
        <v>324</v>
      </c>
      <c r="B334" s="819" t="s">
        <v>1508</v>
      </c>
      <c r="C334" s="465">
        <v>1000114015</v>
      </c>
      <c r="D334" s="470">
        <v>2</v>
      </c>
      <c r="E334" s="819" t="s">
        <v>1314</v>
      </c>
      <c r="F334" s="473"/>
      <c r="G334" s="470"/>
      <c r="H334" s="470">
        <v>1</v>
      </c>
      <c r="I334" s="470">
        <v>1</v>
      </c>
      <c r="J334" s="470"/>
      <c r="K334" s="488">
        <v>199364157</v>
      </c>
      <c r="L334" s="1007">
        <f t="shared" si="52"/>
        <v>398728314</v>
      </c>
      <c r="M334" s="1007">
        <f t="shared" si="53"/>
        <v>0</v>
      </c>
      <c r="N334" s="1007">
        <f t="shared" si="54"/>
        <v>199364157</v>
      </c>
      <c r="O334" s="1007">
        <f t="shared" si="55"/>
        <v>199364157</v>
      </c>
      <c r="P334" s="1007">
        <f t="shared" si="56"/>
        <v>0</v>
      </c>
      <c r="Q334" s="1207"/>
      <c r="R334" s="1202"/>
      <c r="S334" s="445">
        <v>1</v>
      </c>
      <c r="T334" s="991">
        <f t="shared" si="51"/>
        <v>1</v>
      </c>
      <c r="U334" s="1008">
        <v>195431365</v>
      </c>
    </row>
    <row r="335" spans="1:21" ht="15.75">
      <c r="A335" s="473">
        <v>325</v>
      </c>
      <c r="B335" s="819" t="s">
        <v>1509</v>
      </c>
      <c r="C335" s="465">
        <v>1000115352</v>
      </c>
      <c r="D335" s="470">
        <v>100</v>
      </c>
      <c r="E335" s="819" t="s">
        <v>1314</v>
      </c>
      <c r="F335" s="473"/>
      <c r="G335" s="470"/>
      <c r="H335" s="470">
        <v>50</v>
      </c>
      <c r="I335" s="470">
        <v>50</v>
      </c>
      <c r="J335" s="470"/>
      <c r="K335" s="488">
        <v>1254845</v>
      </c>
      <c r="L335" s="1007">
        <f t="shared" si="52"/>
        <v>125484500</v>
      </c>
      <c r="M335" s="1007">
        <f t="shared" si="53"/>
        <v>0</v>
      </c>
      <c r="N335" s="1007">
        <f t="shared" si="54"/>
        <v>62742250</v>
      </c>
      <c r="O335" s="1007">
        <f t="shared" si="55"/>
        <v>62742250</v>
      </c>
      <c r="P335" s="1007">
        <f t="shared" si="56"/>
        <v>0</v>
      </c>
      <c r="Q335" s="1207"/>
      <c r="R335" s="1202"/>
      <c r="S335" s="445">
        <v>50</v>
      </c>
      <c r="T335" s="991">
        <f t="shared" si="51"/>
        <v>50</v>
      </c>
      <c r="U335" s="1008">
        <v>61504100</v>
      </c>
    </row>
    <row r="336" spans="1:21" ht="30">
      <c r="A336" s="473">
        <v>326</v>
      </c>
      <c r="B336" s="819" t="s">
        <v>1510</v>
      </c>
      <c r="C336" s="819" t="s">
        <v>1511</v>
      </c>
      <c r="D336" s="470">
        <v>8</v>
      </c>
      <c r="E336" s="819" t="s">
        <v>1314</v>
      </c>
      <c r="F336" s="473"/>
      <c r="G336" s="470"/>
      <c r="H336" s="470">
        <v>4</v>
      </c>
      <c r="I336" s="470">
        <v>4</v>
      </c>
      <c r="J336" s="470"/>
      <c r="K336" s="488">
        <v>1326290</v>
      </c>
      <c r="L336" s="1007">
        <f t="shared" si="52"/>
        <v>10610320</v>
      </c>
      <c r="M336" s="1007">
        <f t="shared" si="53"/>
        <v>0</v>
      </c>
      <c r="N336" s="1007">
        <f t="shared" si="54"/>
        <v>5305160</v>
      </c>
      <c r="O336" s="1007">
        <f t="shared" si="55"/>
        <v>5305160</v>
      </c>
      <c r="P336" s="1007">
        <f t="shared" si="56"/>
        <v>0</v>
      </c>
      <c r="Q336" s="1207"/>
      <c r="R336" s="1202"/>
      <c r="S336" s="445">
        <v>4</v>
      </c>
      <c r="T336" s="991">
        <f t="shared" si="51"/>
        <v>4</v>
      </c>
      <c r="U336" s="1008">
        <v>5194212</v>
      </c>
    </row>
    <row r="337" spans="1:21" ht="30">
      <c r="A337" s="473">
        <v>327</v>
      </c>
      <c r="B337" s="819" t="s">
        <v>1512</v>
      </c>
      <c r="C337" s="819" t="s">
        <v>1513</v>
      </c>
      <c r="D337" s="470">
        <v>4</v>
      </c>
      <c r="E337" s="819" t="s">
        <v>1314</v>
      </c>
      <c r="F337" s="473"/>
      <c r="G337" s="470"/>
      <c r="H337" s="470">
        <v>2</v>
      </c>
      <c r="I337" s="470">
        <v>2</v>
      </c>
      <c r="J337" s="470"/>
      <c r="K337" s="488">
        <v>10369179</v>
      </c>
      <c r="L337" s="1007">
        <f t="shared" si="52"/>
        <v>41476716</v>
      </c>
      <c r="M337" s="1007">
        <f t="shared" si="53"/>
        <v>0</v>
      </c>
      <c r="N337" s="1007">
        <f t="shared" si="54"/>
        <v>20738358</v>
      </c>
      <c r="O337" s="1007">
        <f t="shared" si="55"/>
        <v>20738358</v>
      </c>
      <c r="P337" s="1007">
        <f t="shared" si="56"/>
        <v>0</v>
      </c>
      <c r="Q337" s="1207"/>
      <c r="R337" s="1202"/>
      <c r="S337" s="445">
        <v>2</v>
      </c>
      <c r="T337" s="991">
        <f t="shared" si="51"/>
        <v>2</v>
      </c>
      <c r="U337" s="1008">
        <v>20324468</v>
      </c>
    </row>
    <row r="338" spans="1:21" ht="30">
      <c r="A338" s="473">
        <v>328</v>
      </c>
      <c r="B338" s="819" t="s">
        <v>1514</v>
      </c>
      <c r="C338" s="819" t="s">
        <v>1515</v>
      </c>
      <c r="D338" s="470">
        <v>4</v>
      </c>
      <c r="E338" s="819" t="s">
        <v>1314</v>
      </c>
      <c r="F338" s="473"/>
      <c r="G338" s="470"/>
      <c r="H338" s="470">
        <v>2</v>
      </c>
      <c r="I338" s="470">
        <v>2</v>
      </c>
      <c r="J338" s="470"/>
      <c r="K338" s="488">
        <v>7385727</v>
      </c>
      <c r="L338" s="1007">
        <f t="shared" si="52"/>
        <v>29542908</v>
      </c>
      <c r="M338" s="1007">
        <f t="shared" si="53"/>
        <v>0</v>
      </c>
      <c r="N338" s="1007">
        <f t="shared" si="54"/>
        <v>14771454</v>
      </c>
      <c r="O338" s="1007">
        <f t="shared" si="55"/>
        <v>14771454</v>
      </c>
      <c r="P338" s="1007">
        <f t="shared" si="56"/>
        <v>0</v>
      </c>
      <c r="Q338" s="1207"/>
      <c r="R338" s="1202"/>
      <c r="S338" s="445">
        <v>2</v>
      </c>
      <c r="T338" s="991">
        <f t="shared" si="51"/>
        <v>2</v>
      </c>
      <c r="U338" s="1008">
        <v>14489552</v>
      </c>
    </row>
    <row r="339" spans="1:21" ht="30">
      <c r="A339" s="473">
        <v>329</v>
      </c>
      <c r="B339" s="819" t="s">
        <v>1516</v>
      </c>
      <c r="C339" s="819" t="s">
        <v>1517</v>
      </c>
      <c r="D339" s="470">
        <v>4</v>
      </c>
      <c r="E339" s="819" t="s">
        <v>1314</v>
      </c>
      <c r="F339" s="473"/>
      <c r="G339" s="470"/>
      <c r="H339" s="470">
        <v>2</v>
      </c>
      <c r="I339" s="470">
        <v>2</v>
      </c>
      <c r="J339" s="470"/>
      <c r="K339" s="488">
        <v>1474902</v>
      </c>
      <c r="L339" s="1007">
        <f t="shared" si="52"/>
        <v>5899608</v>
      </c>
      <c r="M339" s="1007">
        <f t="shared" si="53"/>
        <v>0</v>
      </c>
      <c r="N339" s="1007">
        <f t="shared" si="54"/>
        <v>2949804</v>
      </c>
      <c r="O339" s="1007">
        <f t="shared" si="55"/>
        <v>2949804</v>
      </c>
      <c r="P339" s="1007">
        <f t="shared" si="56"/>
        <v>0</v>
      </c>
      <c r="Q339" s="1207"/>
      <c r="R339" s="1202"/>
      <c r="S339" s="445">
        <v>2</v>
      </c>
      <c r="T339" s="991">
        <f t="shared" si="51"/>
        <v>2</v>
      </c>
      <c r="U339" s="1008">
        <v>2895454</v>
      </c>
    </row>
    <row r="340" spans="1:21" ht="15.75">
      <c r="A340" s="473">
        <v>330</v>
      </c>
      <c r="B340" s="819" t="s">
        <v>1518</v>
      </c>
      <c r="C340" s="465">
        <v>1000113898</v>
      </c>
      <c r="D340" s="470">
        <v>30</v>
      </c>
      <c r="E340" s="819" t="s">
        <v>1314</v>
      </c>
      <c r="F340" s="473"/>
      <c r="G340" s="470"/>
      <c r="H340" s="470">
        <v>20</v>
      </c>
      <c r="I340" s="470">
        <v>10</v>
      </c>
      <c r="J340" s="470"/>
      <c r="K340" s="488">
        <v>797457</v>
      </c>
      <c r="L340" s="1007">
        <f t="shared" si="52"/>
        <v>23923710</v>
      </c>
      <c r="M340" s="1007">
        <f t="shared" si="53"/>
        <v>0</v>
      </c>
      <c r="N340" s="1007">
        <f t="shared" si="54"/>
        <v>15949140</v>
      </c>
      <c r="O340" s="1007">
        <f t="shared" si="55"/>
        <v>7974570</v>
      </c>
      <c r="P340" s="1007">
        <f t="shared" si="56"/>
        <v>0</v>
      </c>
      <c r="Q340" s="1207"/>
      <c r="R340" s="1202"/>
      <c r="S340" s="445">
        <v>20</v>
      </c>
      <c r="T340" s="991">
        <f t="shared" si="51"/>
        <v>10</v>
      </c>
      <c r="U340" s="1008">
        <v>15638940</v>
      </c>
    </row>
    <row r="341" spans="1:21" ht="15.75">
      <c r="A341" s="473">
        <v>331</v>
      </c>
      <c r="B341" s="819" t="s">
        <v>1519</v>
      </c>
      <c r="C341" s="465">
        <v>1000113897</v>
      </c>
      <c r="D341" s="470">
        <v>30</v>
      </c>
      <c r="E341" s="819" t="s">
        <v>1314</v>
      </c>
      <c r="F341" s="473"/>
      <c r="G341" s="470"/>
      <c r="H341" s="470">
        <v>20</v>
      </c>
      <c r="I341" s="470">
        <v>10</v>
      </c>
      <c r="J341" s="470"/>
      <c r="K341" s="488">
        <v>657257</v>
      </c>
      <c r="L341" s="1007">
        <f t="shared" si="52"/>
        <v>19717710</v>
      </c>
      <c r="M341" s="1007">
        <f t="shared" si="53"/>
        <v>0</v>
      </c>
      <c r="N341" s="1007">
        <f t="shared" si="54"/>
        <v>13145140</v>
      </c>
      <c r="O341" s="1007">
        <f t="shared" si="55"/>
        <v>6572570</v>
      </c>
      <c r="P341" s="1007">
        <f t="shared" si="56"/>
        <v>0</v>
      </c>
      <c r="Q341" s="1207"/>
      <c r="R341" s="1202"/>
      <c r="S341" s="445">
        <v>20</v>
      </c>
      <c r="T341" s="991">
        <f t="shared" si="51"/>
        <v>10</v>
      </c>
      <c r="U341" s="1008">
        <v>12875500</v>
      </c>
    </row>
    <row r="342" spans="1:21" ht="15.75">
      <c r="A342" s="473">
        <v>332</v>
      </c>
      <c r="B342" s="819" t="s">
        <v>1400</v>
      </c>
      <c r="C342" s="465">
        <v>1000113945</v>
      </c>
      <c r="D342" s="470">
        <v>70</v>
      </c>
      <c r="E342" s="819" t="s">
        <v>1314</v>
      </c>
      <c r="F342" s="473"/>
      <c r="G342" s="470"/>
      <c r="H342" s="470">
        <v>70</v>
      </c>
      <c r="I342" s="470"/>
      <c r="J342" s="470"/>
      <c r="K342" s="488">
        <v>46787</v>
      </c>
      <c r="L342" s="1007">
        <f t="shared" si="52"/>
        <v>3275090</v>
      </c>
      <c r="M342" s="1007">
        <f t="shared" si="53"/>
        <v>0</v>
      </c>
      <c r="N342" s="1007">
        <f t="shared" si="54"/>
        <v>3275090</v>
      </c>
      <c r="O342" s="1007">
        <f t="shared" si="55"/>
        <v>0</v>
      </c>
      <c r="P342" s="1007">
        <f t="shared" si="56"/>
        <v>0</v>
      </c>
      <c r="Q342" s="1207"/>
      <c r="R342" s="1202"/>
      <c r="S342" s="445">
        <v>70</v>
      </c>
      <c r="T342" s="991">
        <f t="shared" si="51"/>
        <v>0</v>
      </c>
      <c r="U342" s="1008">
        <v>3215800</v>
      </c>
    </row>
    <row r="343" spans="1:21" ht="15.75">
      <c r="A343" s="473">
        <v>333</v>
      </c>
      <c r="B343" s="819" t="s">
        <v>1400</v>
      </c>
      <c r="C343" s="465">
        <v>1000113812</v>
      </c>
      <c r="D343" s="470">
        <v>100</v>
      </c>
      <c r="E343" s="819" t="s">
        <v>1314</v>
      </c>
      <c r="F343" s="473"/>
      <c r="G343" s="470"/>
      <c r="H343" s="470">
        <v>100</v>
      </c>
      <c r="I343" s="470"/>
      <c r="J343" s="470"/>
      <c r="K343" s="488">
        <v>11665</v>
      </c>
      <c r="L343" s="1007">
        <f t="shared" si="52"/>
        <v>1166500</v>
      </c>
      <c r="M343" s="1007">
        <f t="shared" si="53"/>
        <v>0</v>
      </c>
      <c r="N343" s="1007">
        <f t="shared" si="54"/>
        <v>1166500</v>
      </c>
      <c r="O343" s="1007">
        <f t="shared" si="55"/>
        <v>0</v>
      </c>
      <c r="P343" s="1007">
        <f t="shared" si="56"/>
        <v>0</v>
      </c>
      <c r="Q343" s="1207"/>
      <c r="R343" s="1202"/>
      <c r="S343" s="445">
        <v>100</v>
      </c>
      <c r="T343" s="991">
        <f t="shared" si="51"/>
        <v>0</v>
      </c>
      <c r="U343" s="1008">
        <v>1149400</v>
      </c>
    </row>
    <row r="344" spans="1:21" ht="15.75">
      <c r="A344" s="473">
        <v>334</v>
      </c>
      <c r="B344" s="819" t="s">
        <v>1520</v>
      </c>
      <c r="C344" s="465">
        <v>1000113972</v>
      </c>
      <c r="D344" s="470">
        <v>5</v>
      </c>
      <c r="E344" s="819" t="s">
        <v>1314</v>
      </c>
      <c r="F344" s="473"/>
      <c r="G344" s="470"/>
      <c r="H344" s="470">
        <v>3</v>
      </c>
      <c r="I344" s="470">
        <v>2</v>
      </c>
      <c r="J344" s="470"/>
      <c r="K344" s="488">
        <v>34011357</v>
      </c>
      <c r="L344" s="1007">
        <f t="shared" si="52"/>
        <v>170056785</v>
      </c>
      <c r="M344" s="1007">
        <f t="shared" si="53"/>
        <v>0</v>
      </c>
      <c r="N344" s="1007">
        <f t="shared" si="54"/>
        <v>102034071</v>
      </c>
      <c r="O344" s="1007">
        <f t="shared" si="55"/>
        <v>68022714</v>
      </c>
      <c r="P344" s="1007">
        <f t="shared" si="56"/>
        <v>0</v>
      </c>
      <c r="Q344" s="1207"/>
      <c r="R344" s="1202"/>
      <c r="S344" s="445">
        <v>3</v>
      </c>
      <c r="T344" s="991">
        <f t="shared" si="51"/>
        <v>2</v>
      </c>
      <c r="U344" s="1008">
        <v>100020585</v>
      </c>
    </row>
    <row r="345" spans="1:21" ht="15.75">
      <c r="A345" s="473">
        <v>335</v>
      </c>
      <c r="B345" s="819" t="s">
        <v>1347</v>
      </c>
      <c r="C345" s="465">
        <v>1000113998</v>
      </c>
      <c r="D345" s="470">
        <v>5</v>
      </c>
      <c r="E345" s="819" t="s">
        <v>1314</v>
      </c>
      <c r="F345" s="473"/>
      <c r="G345" s="470"/>
      <c r="H345" s="470">
        <v>3</v>
      </c>
      <c r="I345" s="470">
        <v>2</v>
      </c>
      <c r="J345" s="470"/>
      <c r="K345" s="488">
        <v>32990702</v>
      </c>
      <c r="L345" s="1007">
        <f t="shared" si="52"/>
        <v>164953510</v>
      </c>
      <c r="M345" s="1007">
        <f t="shared" si="53"/>
        <v>0</v>
      </c>
      <c r="N345" s="1007">
        <f t="shared" si="54"/>
        <v>98972106</v>
      </c>
      <c r="O345" s="1007">
        <f t="shared" si="55"/>
        <v>65981404</v>
      </c>
      <c r="P345" s="1007">
        <f t="shared" si="56"/>
        <v>0</v>
      </c>
      <c r="Q345" s="1207"/>
      <c r="R345" s="1202"/>
      <c r="S345" s="445">
        <v>3</v>
      </c>
      <c r="T345" s="991">
        <f t="shared" si="51"/>
        <v>2</v>
      </c>
      <c r="U345" s="1008">
        <v>97013823</v>
      </c>
    </row>
    <row r="346" spans="1:21" ht="15.75">
      <c r="A346" s="473">
        <v>336</v>
      </c>
      <c r="B346" s="819" t="s">
        <v>927</v>
      </c>
      <c r="C346" s="465">
        <v>1000113997</v>
      </c>
      <c r="D346" s="470">
        <v>10</v>
      </c>
      <c r="E346" s="819" t="s">
        <v>1314</v>
      </c>
      <c r="F346" s="473"/>
      <c r="G346" s="470"/>
      <c r="H346" s="470">
        <v>5</v>
      </c>
      <c r="I346" s="470">
        <v>5</v>
      </c>
      <c r="J346" s="470"/>
      <c r="K346" s="488">
        <v>2285818</v>
      </c>
      <c r="L346" s="1007">
        <f t="shared" si="52"/>
        <v>22858180</v>
      </c>
      <c r="M346" s="1007">
        <f t="shared" si="53"/>
        <v>0</v>
      </c>
      <c r="N346" s="1007">
        <f t="shared" si="54"/>
        <v>11429090</v>
      </c>
      <c r="O346" s="1007">
        <f t="shared" si="55"/>
        <v>11429090</v>
      </c>
      <c r="P346" s="1007">
        <f t="shared" si="56"/>
        <v>0</v>
      </c>
      <c r="Q346" s="1207"/>
      <c r="R346" s="1202"/>
      <c r="S346" s="445">
        <v>5</v>
      </c>
      <c r="T346" s="991">
        <f t="shared" si="51"/>
        <v>5</v>
      </c>
      <c r="U346" s="1008">
        <v>11206450</v>
      </c>
    </row>
    <row r="347" spans="1:21" ht="15.75">
      <c r="A347" s="473">
        <v>337</v>
      </c>
      <c r="B347" s="819" t="s">
        <v>1436</v>
      </c>
      <c r="C347" s="465">
        <v>1000113967</v>
      </c>
      <c r="D347" s="470">
        <v>5</v>
      </c>
      <c r="E347" s="819" t="s">
        <v>1314</v>
      </c>
      <c r="F347" s="473"/>
      <c r="G347" s="470"/>
      <c r="H347" s="470">
        <v>3</v>
      </c>
      <c r="I347" s="470">
        <v>2</v>
      </c>
      <c r="J347" s="470"/>
      <c r="K347" s="488">
        <v>32252690</v>
      </c>
      <c r="L347" s="1007">
        <f t="shared" si="52"/>
        <v>161263450</v>
      </c>
      <c r="M347" s="1007">
        <f t="shared" si="53"/>
        <v>0</v>
      </c>
      <c r="N347" s="1007">
        <f t="shared" si="54"/>
        <v>96758070</v>
      </c>
      <c r="O347" s="1007">
        <f t="shared" si="55"/>
        <v>64505380</v>
      </c>
      <c r="P347" s="1007">
        <f t="shared" si="56"/>
        <v>0</v>
      </c>
      <c r="Q347" s="1207"/>
      <c r="R347" s="1202"/>
      <c r="S347" s="445">
        <v>3</v>
      </c>
      <c r="T347" s="991">
        <f t="shared" si="51"/>
        <v>2</v>
      </c>
      <c r="U347" s="1008">
        <v>94848378</v>
      </c>
    </row>
    <row r="348" spans="1:21" ht="15.75">
      <c r="A348" s="473">
        <v>338</v>
      </c>
      <c r="B348" s="819" t="s">
        <v>1521</v>
      </c>
      <c r="C348" s="465">
        <v>1000113968</v>
      </c>
      <c r="D348" s="470">
        <v>170</v>
      </c>
      <c r="E348" s="819" t="s">
        <v>1314</v>
      </c>
      <c r="F348" s="473"/>
      <c r="G348" s="470"/>
      <c r="H348" s="470">
        <v>170</v>
      </c>
      <c r="I348" s="470"/>
      <c r="J348" s="470"/>
      <c r="K348" s="488">
        <v>83328</v>
      </c>
      <c r="L348" s="1007">
        <f t="shared" si="52"/>
        <v>14165760</v>
      </c>
      <c r="M348" s="1007">
        <f t="shared" si="53"/>
        <v>0</v>
      </c>
      <c r="N348" s="1007">
        <f t="shared" si="54"/>
        <v>14165760</v>
      </c>
      <c r="O348" s="1007">
        <f t="shared" si="55"/>
        <v>0</v>
      </c>
      <c r="P348" s="1007">
        <f t="shared" si="56"/>
        <v>0</v>
      </c>
      <c r="Q348" s="1207"/>
      <c r="R348" s="1202"/>
      <c r="S348" s="445">
        <v>170</v>
      </c>
      <c r="T348" s="991">
        <f t="shared" si="51"/>
        <v>0</v>
      </c>
      <c r="U348" s="1008">
        <v>13881860</v>
      </c>
    </row>
    <row r="349" spans="1:21" ht="15.75">
      <c r="A349" s="473">
        <v>339</v>
      </c>
      <c r="B349" s="819" t="s">
        <v>925</v>
      </c>
      <c r="C349" s="465">
        <v>1000113961</v>
      </c>
      <c r="D349" s="470">
        <v>3</v>
      </c>
      <c r="E349" s="819" t="s">
        <v>1314</v>
      </c>
      <c r="F349" s="473"/>
      <c r="G349" s="470"/>
      <c r="H349" s="470">
        <v>2</v>
      </c>
      <c r="I349" s="470">
        <v>1</v>
      </c>
      <c r="J349" s="470"/>
      <c r="K349" s="488">
        <v>47264166</v>
      </c>
      <c r="L349" s="1007">
        <f t="shared" si="52"/>
        <v>141792498</v>
      </c>
      <c r="M349" s="1007">
        <f t="shared" si="53"/>
        <v>0</v>
      </c>
      <c r="N349" s="1007">
        <f t="shared" si="54"/>
        <v>94528332</v>
      </c>
      <c r="O349" s="1007">
        <f t="shared" si="55"/>
        <v>47264166</v>
      </c>
      <c r="P349" s="1007">
        <f t="shared" si="56"/>
        <v>0</v>
      </c>
      <c r="Q349" s="1207"/>
      <c r="R349" s="1202"/>
      <c r="S349" s="445">
        <v>2</v>
      </c>
      <c r="T349" s="991">
        <f t="shared" si="51"/>
        <v>1</v>
      </c>
      <c r="U349" s="1008">
        <v>92659642</v>
      </c>
    </row>
    <row r="350" spans="1:21" ht="15.75">
      <c r="A350" s="473">
        <v>340</v>
      </c>
      <c r="B350" s="819" t="s">
        <v>1436</v>
      </c>
      <c r="C350" s="465">
        <v>1000113957</v>
      </c>
      <c r="D350" s="470">
        <v>3</v>
      </c>
      <c r="E350" s="819" t="s">
        <v>1314</v>
      </c>
      <c r="F350" s="473"/>
      <c r="G350" s="470"/>
      <c r="H350" s="470">
        <v>2</v>
      </c>
      <c r="I350" s="470">
        <v>1</v>
      </c>
      <c r="J350" s="470"/>
      <c r="K350" s="488">
        <v>34597579</v>
      </c>
      <c r="L350" s="1007">
        <f t="shared" si="52"/>
        <v>103792737</v>
      </c>
      <c r="M350" s="1007">
        <f t="shared" si="53"/>
        <v>0</v>
      </c>
      <c r="N350" s="1007">
        <f t="shared" si="54"/>
        <v>69195158</v>
      </c>
      <c r="O350" s="1007">
        <f t="shared" si="55"/>
        <v>34597579</v>
      </c>
      <c r="P350" s="1007">
        <f t="shared" si="56"/>
        <v>0</v>
      </c>
      <c r="Q350" s="1207"/>
      <c r="R350" s="1202"/>
      <c r="S350" s="445">
        <v>2</v>
      </c>
      <c r="T350" s="991">
        <f t="shared" si="51"/>
        <v>1</v>
      </c>
      <c r="U350" s="1008">
        <v>67825674</v>
      </c>
    </row>
    <row r="351" spans="1:21" ht="15.75">
      <c r="A351" s="473">
        <v>341</v>
      </c>
      <c r="B351" s="819" t="s">
        <v>1436</v>
      </c>
      <c r="C351" s="465">
        <v>1000113963</v>
      </c>
      <c r="D351" s="470">
        <v>3</v>
      </c>
      <c r="E351" s="819" t="s">
        <v>1314</v>
      </c>
      <c r="F351" s="473"/>
      <c r="G351" s="470"/>
      <c r="H351" s="470">
        <v>2</v>
      </c>
      <c r="I351" s="470">
        <v>1</v>
      </c>
      <c r="J351" s="470"/>
      <c r="K351" s="488">
        <v>41514104</v>
      </c>
      <c r="L351" s="1007">
        <f t="shared" si="52"/>
        <v>124542312</v>
      </c>
      <c r="M351" s="1007">
        <f t="shared" si="53"/>
        <v>0</v>
      </c>
      <c r="N351" s="1007">
        <f t="shared" si="54"/>
        <v>83028208</v>
      </c>
      <c r="O351" s="1007">
        <f t="shared" si="55"/>
        <v>41514104</v>
      </c>
      <c r="P351" s="1007">
        <f t="shared" si="56"/>
        <v>0</v>
      </c>
      <c r="Q351" s="1207"/>
      <c r="R351" s="1202"/>
      <c r="S351" s="445">
        <v>2</v>
      </c>
      <c r="T351" s="991">
        <f t="shared" si="51"/>
        <v>1</v>
      </c>
      <c r="U351" s="1008">
        <v>81398180</v>
      </c>
    </row>
    <row r="352" spans="1:21" ht="15.75">
      <c r="A352" s="473">
        <v>342</v>
      </c>
      <c r="B352" s="819" t="s">
        <v>1436</v>
      </c>
      <c r="C352" s="465">
        <v>1000113962</v>
      </c>
      <c r="D352" s="470">
        <v>3</v>
      </c>
      <c r="E352" s="819" t="s">
        <v>1314</v>
      </c>
      <c r="F352" s="473"/>
      <c r="G352" s="470"/>
      <c r="H352" s="470">
        <v>2</v>
      </c>
      <c r="I352" s="470">
        <v>1</v>
      </c>
      <c r="J352" s="470"/>
      <c r="K352" s="488">
        <v>42336610</v>
      </c>
      <c r="L352" s="1007">
        <f t="shared" si="52"/>
        <v>127009830</v>
      </c>
      <c r="M352" s="1007">
        <f t="shared" si="53"/>
        <v>0</v>
      </c>
      <c r="N352" s="1007">
        <f t="shared" si="54"/>
        <v>84673220</v>
      </c>
      <c r="O352" s="1007">
        <f t="shared" si="55"/>
        <v>42336610</v>
      </c>
      <c r="P352" s="1007">
        <f t="shared" si="56"/>
        <v>0</v>
      </c>
      <c r="Q352" s="1207"/>
      <c r="R352" s="1202"/>
      <c r="S352" s="445">
        <v>2</v>
      </c>
      <c r="T352" s="991">
        <f t="shared" si="51"/>
        <v>1</v>
      </c>
      <c r="U352" s="1008">
        <v>82999940</v>
      </c>
    </row>
    <row r="353" spans="1:21" ht="15.75">
      <c r="A353" s="473">
        <v>343</v>
      </c>
      <c r="B353" s="819" t="s">
        <v>1436</v>
      </c>
      <c r="C353" s="465">
        <v>1000113970</v>
      </c>
      <c r="D353" s="470">
        <v>3</v>
      </c>
      <c r="E353" s="819" t="s">
        <v>1314</v>
      </c>
      <c r="F353" s="473"/>
      <c r="G353" s="470"/>
      <c r="H353" s="470">
        <v>2</v>
      </c>
      <c r="I353" s="470">
        <v>1</v>
      </c>
      <c r="J353" s="470"/>
      <c r="K353" s="488">
        <v>39988730</v>
      </c>
      <c r="L353" s="1007">
        <f t="shared" si="52"/>
        <v>119966190</v>
      </c>
      <c r="M353" s="1007">
        <f t="shared" si="53"/>
        <v>0</v>
      </c>
      <c r="N353" s="1007">
        <f t="shared" si="54"/>
        <v>79977460</v>
      </c>
      <c r="O353" s="1007">
        <f t="shared" si="55"/>
        <v>39988730</v>
      </c>
      <c r="P353" s="1007">
        <f t="shared" si="56"/>
        <v>0</v>
      </c>
      <c r="Q353" s="1207"/>
      <c r="R353" s="1202"/>
      <c r="S353" s="445">
        <v>2</v>
      </c>
      <c r="T353" s="991">
        <f t="shared" si="51"/>
        <v>1</v>
      </c>
      <c r="U353" s="1008">
        <v>78402422</v>
      </c>
    </row>
    <row r="354" spans="1:21" ht="15.75">
      <c r="A354" s="473">
        <v>344</v>
      </c>
      <c r="B354" s="819" t="s">
        <v>1436</v>
      </c>
      <c r="C354" s="465">
        <v>1000113971</v>
      </c>
      <c r="D354" s="470">
        <v>3</v>
      </c>
      <c r="E354" s="819" t="s">
        <v>1314</v>
      </c>
      <c r="F354" s="473"/>
      <c r="G354" s="470"/>
      <c r="H354" s="470">
        <v>2</v>
      </c>
      <c r="I354" s="470">
        <v>1</v>
      </c>
      <c r="J354" s="470"/>
      <c r="K354" s="488">
        <v>29198951</v>
      </c>
      <c r="L354" s="1007">
        <f t="shared" si="52"/>
        <v>87596853</v>
      </c>
      <c r="M354" s="1007">
        <f t="shared" si="53"/>
        <v>0</v>
      </c>
      <c r="N354" s="1007">
        <f t="shared" si="54"/>
        <v>58397902</v>
      </c>
      <c r="O354" s="1007">
        <f t="shared" si="55"/>
        <v>29198951</v>
      </c>
      <c r="P354" s="1007">
        <f t="shared" si="56"/>
        <v>0</v>
      </c>
      <c r="Q354" s="1207"/>
      <c r="R354" s="1202"/>
      <c r="S354" s="445">
        <v>2</v>
      </c>
      <c r="T354" s="991">
        <f t="shared" si="51"/>
        <v>1</v>
      </c>
      <c r="U354" s="1008">
        <v>57248926</v>
      </c>
    </row>
    <row r="355" spans="1:21" ht="15.75">
      <c r="A355" s="473">
        <v>345</v>
      </c>
      <c r="B355" s="819" t="s">
        <v>927</v>
      </c>
      <c r="C355" s="465">
        <v>1000113965</v>
      </c>
      <c r="D355" s="470">
        <v>5</v>
      </c>
      <c r="E355" s="819" t="s">
        <v>1314</v>
      </c>
      <c r="F355" s="473"/>
      <c r="G355" s="470"/>
      <c r="H355" s="470">
        <v>3</v>
      </c>
      <c r="I355" s="470">
        <v>2</v>
      </c>
      <c r="J355" s="470"/>
      <c r="K355" s="488">
        <v>3645196</v>
      </c>
      <c r="L355" s="1007">
        <f t="shared" si="52"/>
        <v>18225980</v>
      </c>
      <c r="M355" s="1007">
        <f t="shared" si="53"/>
        <v>0</v>
      </c>
      <c r="N355" s="1007">
        <f t="shared" si="54"/>
        <v>10935588</v>
      </c>
      <c r="O355" s="1007">
        <f t="shared" si="55"/>
        <v>7290392</v>
      </c>
      <c r="P355" s="1007">
        <f t="shared" si="56"/>
        <v>0</v>
      </c>
      <c r="Q355" s="1207"/>
      <c r="R355" s="1202"/>
      <c r="S355" s="445">
        <v>3</v>
      </c>
      <c r="T355" s="991">
        <f t="shared" ref="T355:T418" si="57">G355+H355+I355+J355-S355</f>
        <v>2</v>
      </c>
      <c r="U355" s="1008">
        <v>10719780</v>
      </c>
    </row>
    <row r="356" spans="1:21" ht="15.75">
      <c r="A356" s="473">
        <v>346</v>
      </c>
      <c r="B356" s="819" t="s">
        <v>927</v>
      </c>
      <c r="C356" s="465">
        <v>1000113966</v>
      </c>
      <c r="D356" s="470">
        <v>5</v>
      </c>
      <c r="E356" s="819" t="s">
        <v>1314</v>
      </c>
      <c r="F356" s="473"/>
      <c r="G356" s="470"/>
      <c r="H356" s="470">
        <v>3</v>
      </c>
      <c r="I356" s="470">
        <v>2</v>
      </c>
      <c r="J356" s="470"/>
      <c r="K356" s="488">
        <v>10906425</v>
      </c>
      <c r="L356" s="1007">
        <f t="shared" si="52"/>
        <v>54532125</v>
      </c>
      <c r="M356" s="1007">
        <f t="shared" si="53"/>
        <v>0</v>
      </c>
      <c r="N356" s="1007">
        <f t="shared" si="54"/>
        <v>32719275</v>
      </c>
      <c r="O356" s="1007">
        <f t="shared" si="55"/>
        <v>21812850</v>
      </c>
      <c r="P356" s="1007">
        <f t="shared" si="56"/>
        <v>0</v>
      </c>
      <c r="Q356" s="1207"/>
      <c r="R356" s="1202"/>
      <c r="S356" s="445">
        <v>3</v>
      </c>
      <c r="T356" s="991">
        <f t="shared" si="57"/>
        <v>2</v>
      </c>
      <c r="U356" s="1008">
        <v>32072601</v>
      </c>
    </row>
    <row r="357" spans="1:21" ht="15.75">
      <c r="A357" s="473">
        <v>347</v>
      </c>
      <c r="B357" s="819" t="s">
        <v>927</v>
      </c>
      <c r="C357" s="465">
        <v>1000113973</v>
      </c>
      <c r="D357" s="470">
        <v>5</v>
      </c>
      <c r="E357" s="819" t="s">
        <v>1314</v>
      </c>
      <c r="F357" s="473"/>
      <c r="G357" s="470"/>
      <c r="H357" s="470">
        <v>3</v>
      </c>
      <c r="I357" s="470">
        <v>2</v>
      </c>
      <c r="J357" s="470"/>
      <c r="K357" s="488">
        <v>5498076</v>
      </c>
      <c r="L357" s="1007">
        <f t="shared" si="52"/>
        <v>27490380</v>
      </c>
      <c r="M357" s="1007">
        <f t="shared" si="53"/>
        <v>0</v>
      </c>
      <c r="N357" s="1007">
        <f t="shared" si="54"/>
        <v>16494228</v>
      </c>
      <c r="O357" s="1007">
        <f t="shared" si="55"/>
        <v>10996152</v>
      </c>
      <c r="P357" s="1007">
        <f t="shared" si="56"/>
        <v>0</v>
      </c>
      <c r="Q357" s="1207"/>
      <c r="R357" s="1202"/>
      <c r="S357" s="445">
        <v>3</v>
      </c>
      <c r="T357" s="991">
        <f t="shared" si="57"/>
        <v>2</v>
      </c>
      <c r="U357" s="1008">
        <v>16180614</v>
      </c>
    </row>
    <row r="358" spans="1:21" ht="15.75">
      <c r="A358" s="473">
        <v>348</v>
      </c>
      <c r="B358" s="819" t="s">
        <v>927</v>
      </c>
      <c r="C358" s="465">
        <v>1000113964</v>
      </c>
      <c r="D358" s="470">
        <v>20</v>
      </c>
      <c r="E358" s="819" t="s">
        <v>1314</v>
      </c>
      <c r="F358" s="473"/>
      <c r="G358" s="470"/>
      <c r="H358" s="470">
        <v>10</v>
      </c>
      <c r="I358" s="470">
        <v>10</v>
      </c>
      <c r="J358" s="470"/>
      <c r="K358" s="488">
        <v>1231515</v>
      </c>
      <c r="L358" s="1007">
        <f t="shared" si="52"/>
        <v>24630300</v>
      </c>
      <c r="M358" s="1007">
        <f t="shared" si="53"/>
        <v>0</v>
      </c>
      <c r="N358" s="1007">
        <f t="shared" si="54"/>
        <v>12315150</v>
      </c>
      <c r="O358" s="1007">
        <f t="shared" si="55"/>
        <v>12315150</v>
      </c>
      <c r="P358" s="1007">
        <f t="shared" si="56"/>
        <v>0</v>
      </c>
      <c r="Q358" s="1207"/>
      <c r="R358" s="1202"/>
      <c r="S358" s="445">
        <v>10</v>
      </c>
      <c r="T358" s="991">
        <f t="shared" si="57"/>
        <v>10</v>
      </c>
      <c r="U358" s="1008">
        <v>12068480</v>
      </c>
    </row>
    <row r="359" spans="1:21" ht="15.75">
      <c r="A359" s="473">
        <v>349</v>
      </c>
      <c r="B359" s="819" t="s">
        <v>927</v>
      </c>
      <c r="C359" s="465">
        <v>1000114001</v>
      </c>
      <c r="D359" s="470">
        <v>5</v>
      </c>
      <c r="E359" s="819" t="s">
        <v>1314</v>
      </c>
      <c r="F359" s="473"/>
      <c r="G359" s="470"/>
      <c r="H359" s="470">
        <v>3</v>
      </c>
      <c r="I359" s="470">
        <v>2</v>
      </c>
      <c r="J359" s="470"/>
      <c r="K359" s="488">
        <v>6612946</v>
      </c>
      <c r="L359" s="1007">
        <f t="shared" si="52"/>
        <v>33064730</v>
      </c>
      <c r="M359" s="1007">
        <f t="shared" si="53"/>
        <v>0</v>
      </c>
      <c r="N359" s="1007">
        <f t="shared" si="54"/>
        <v>19838838</v>
      </c>
      <c r="O359" s="1007">
        <f t="shared" si="55"/>
        <v>13225892</v>
      </c>
      <c r="P359" s="1007">
        <f t="shared" si="56"/>
        <v>0</v>
      </c>
      <c r="Q359" s="1207"/>
      <c r="R359" s="1202"/>
      <c r="S359" s="445">
        <v>3</v>
      </c>
      <c r="T359" s="991">
        <f t="shared" si="57"/>
        <v>2</v>
      </c>
      <c r="U359" s="1008">
        <v>19451433</v>
      </c>
    </row>
    <row r="360" spans="1:21" ht="15.75">
      <c r="A360" s="473">
        <v>350</v>
      </c>
      <c r="B360" s="819" t="s">
        <v>927</v>
      </c>
      <c r="C360" s="465">
        <v>1000113999</v>
      </c>
      <c r="D360" s="470">
        <v>5</v>
      </c>
      <c r="E360" s="819" t="s">
        <v>1314</v>
      </c>
      <c r="F360" s="473"/>
      <c r="G360" s="470"/>
      <c r="H360" s="470">
        <v>3</v>
      </c>
      <c r="I360" s="470">
        <v>2</v>
      </c>
      <c r="J360" s="470"/>
      <c r="K360" s="488">
        <v>5392646</v>
      </c>
      <c r="L360" s="1007">
        <f t="shared" si="52"/>
        <v>26963230</v>
      </c>
      <c r="M360" s="1007">
        <f t="shared" si="53"/>
        <v>0</v>
      </c>
      <c r="N360" s="1007">
        <f t="shared" si="54"/>
        <v>16177938</v>
      </c>
      <c r="O360" s="1007">
        <f t="shared" si="55"/>
        <v>10785292</v>
      </c>
      <c r="P360" s="1007">
        <f t="shared" si="56"/>
        <v>0</v>
      </c>
      <c r="Q360" s="1207"/>
      <c r="R360" s="1202"/>
      <c r="S360" s="445">
        <v>3</v>
      </c>
      <c r="T360" s="991">
        <f t="shared" si="57"/>
        <v>2</v>
      </c>
      <c r="U360" s="1008">
        <v>15858978</v>
      </c>
    </row>
    <row r="361" spans="1:21" ht="15.75">
      <c r="A361" s="473">
        <v>351</v>
      </c>
      <c r="B361" s="819" t="s">
        <v>1522</v>
      </c>
      <c r="C361" s="465">
        <v>1000115333</v>
      </c>
      <c r="D361" s="470">
        <v>4</v>
      </c>
      <c r="E361" s="819" t="s">
        <v>1314</v>
      </c>
      <c r="F361" s="473"/>
      <c r="G361" s="470"/>
      <c r="H361" s="470">
        <v>2</v>
      </c>
      <c r="I361" s="470">
        <v>2</v>
      </c>
      <c r="J361" s="470"/>
      <c r="K361" s="488">
        <v>5983729</v>
      </c>
      <c r="L361" s="1007">
        <f t="shared" si="52"/>
        <v>23934916</v>
      </c>
      <c r="M361" s="1007">
        <f t="shared" si="53"/>
        <v>0</v>
      </c>
      <c r="N361" s="1007">
        <f t="shared" si="54"/>
        <v>11967458</v>
      </c>
      <c r="O361" s="1007">
        <f t="shared" si="55"/>
        <v>11967458</v>
      </c>
      <c r="P361" s="1007">
        <f t="shared" si="56"/>
        <v>0</v>
      </c>
      <c r="Q361" s="1207"/>
      <c r="R361" s="1202"/>
      <c r="S361" s="445">
        <v>2</v>
      </c>
      <c r="T361" s="991">
        <f t="shared" si="57"/>
        <v>2</v>
      </c>
      <c r="U361" s="1008">
        <v>11726128</v>
      </c>
    </row>
    <row r="362" spans="1:21" ht="15.75">
      <c r="A362" s="473">
        <v>352</v>
      </c>
      <c r="B362" s="819" t="s">
        <v>1523</v>
      </c>
      <c r="C362" s="465">
        <v>1000114247</v>
      </c>
      <c r="D362" s="470">
        <v>2</v>
      </c>
      <c r="E362" s="819" t="s">
        <v>1314</v>
      </c>
      <c r="F362" s="473"/>
      <c r="G362" s="470"/>
      <c r="H362" s="470">
        <v>2</v>
      </c>
      <c r="I362" s="470"/>
      <c r="J362" s="470"/>
      <c r="K362" s="488">
        <v>6920264</v>
      </c>
      <c r="L362" s="1007">
        <f t="shared" si="52"/>
        <v>13840528</v>
      </c>
      <c r="M362" s="1007">
        <f t="shared" si="53"/>
        <v>0</v>
      </c>
      <c r="N362" s="1007">
        <f t="shared" si="54"/>
        <v>13840528</v>
      </c>
      <c r="O362" s="1007">
        <f t="shared" si="55"/>
        <v>0</v>
      </c>
      <c r="P362" s="1007">
        <f t="shared" si="56"/>
        <v>0</v>
      </c>
      <c r="Q362" s="1207"/>
      <c r="R362" s="1202"/>
      <c r="S362" s="445">
        <v>2</v>
      </c>
      <c r="T362" s="991">
        <f t="shared" si="57"/>
        <v>0</v>
      </c>
      <c r="U362" s="1008">
        <v>13560220</v>
      </c>
    </row>
    <row r="363" spans="1:21" ht="15.75">
      <c r="A363" s="473">
        <v>353</v>
      </c>
      <c r="B363" s="819" t="s">
        <v>1524</v>
      </c>
      <c r="C363" s="465">
        <v>1000114119</v>
      </c>
      <c r="D363" s="470">
        <v>3</v>
      </c>
      <c r="E363" s="819" t="s">
        <v>1314</v>
      </c>
      <c r="F363" s="473"/>
      <c r="G363" s="470"/>
      <c r="H363" s="470">
        <v>3</v>
      </c>
      <c r="I363" s="470"/>
      <c r="J363" s="470"/>
      <c r="K363" s="488">
        <v>11612285</v>
      </c>
      <c r="L363" s="1007">
        <f t="shared" si="52"/>
        <v>34836855</v>
      </c>
      <c r="M363" s="1007">
        <f t="shared" si="53"/>
        <v>0</v>
      </c>
      <c r="N363" s="1007">
        <f t="shared" si="54"/>
        <v>34836855</v>
      </c>
      <c r="O363" s="1007">
        <f t="shared" si="55"/>
        <v>0</v>
      </c>
      <c r="P363" s="1007">
        <f t="shared" si="56"/>
        <v>0</v>
      </c>
      <c r="Q363" s="1207"/>
      <c r="R363" s="1202"/>
      <c r="S363" s="445">
        <v>3</v>
      </c>
      <c r="T363" s="991">
        <f t="shared" si="57"/>
        <v>0</v>
      </c>
      <c r="U363" s="1008">
        <v>34139028</v>
      </c>
    </row>
    <row r="364" spans="1:21" ht="15.75">
      <c r="A364" s="473">
        <v>354</v>
      </c>
      <c r="B364" s="819" t="s">
        <v>1525</v>
      </c>
      <c r="C364" s="465">
        <v>1000114108</v>
      </c>
      <c r="D364" s="470">
        <v>3</v>
      </c>
      <c r="E364" s="819" t="s">
        <v>1314</v>
      </c>
      <c r="F364" s="473"/>
      <c r="G364" s="470"/>
      <c r="H364" s="470">
        <v>3</v>
      </c>
      <c r="I364" s="470"/>
      <c r="J364" s="470"/>
      <c r="K364" s="488">
        <v>11612285</v>
      </c>
      <c r="L364" s="1007">
        <f t="shared" si="52"/>
        <v>34836855</v>
      </c>
      <c r="M364" s="1007">
        <f t="shared" si="53"/>
        <v>0</v>
      </c>
      <c r="N364" s="1007">
        <f t="shared" si="54"/>
        <v>34836855</v>
      </c>
      <c r="O364" s="1007">
        <f t="shared" si="55"/>
        <v>0</v>
      </c>
      <c r="P364" s="1007">
        <f t="shared" si="56"/>
        <v>0</v>
      </c>
      <c r="Q364" s="1207"/>
      <c r="R364" s="1202"/>
      <c r="S364" s="445">
        <v>3</v>
      </c>
      <c r="T364" s="991">
        <f t="shared" si="57"/>
        <v>0</v>
      </c>
      <c r="U364" s="1008">
        <v>34139028</v>
      </c>
    </row>
    <row r="365" spans="1:21" ht="15.75">
      <c r="A365" s="473">
        <v>355</v>
      </c>
      <c r="B365" s="819" t="s">
        <v>1526</v>
      </c>
      <c r="C365" s="465">
        <v>1000114105</v>
      </c>
      <c r="D365" s="470">
        <v>2</v>
      </c>
      <c r="E365" s="819" t="s">
        <v>1314</v>
      </c>
      <c r="F365" s="473"/>
      <c r="G365" s="470"/>
      <c r="H365" s="470">
        <v>2</v>
      </c>
      <c r="I365" s="470"/>
      <c r="J365" s="470"/>
      <c r="K365" s="488">
        <v>11137474</v>
      </c>
      <c r="L365" s="1007">
        <f t="shared" si="52"/>
        <v>22274948</v>
      </c>
      <c r="M365" s="1007">
        <f t="shared" si="53"/>
        <v>0</v>
      </c>
      <c r="N365" s="1007">
        <f t="shared" si="54"/>
        <v>22274948</v>
      </c>
      <c r="O365" s="1007">
        <f t="shared" si="55"/>
        <v>0</v>
      </c>
      <c r="P365" s="1007">
        <f t="shared" si="56"/>
        <v>0</v>
      </c>
      <c r="Q365" s="1207"/>
      <c r="R365" s="1202"/>
      <c r="S365" s="445">
        <v>2</v>
      </c>
      <c r="T365" s="991">
        <f t="shared" si="57"/>
        <v>0</v>
      </c>
      <c r="U365" s="1008">
        <v>21838210</v>
      </c>
    </row>
    <row r="366" spans="1:21" ht="15.75">
      <c r="A366" s="473">
        <v>356</v>
      </c>
      <c r="B366" s="819" t="s">
        <v>1527</v>
      </c>
      <c r="C366" s="465">
        <v>1000114099</v>
      </c>
      <c r="D366" s="470">
        <v>6</v>
      </c>
      <c r="E366" s="819" t="s">
        <v>1314</v>
      </c>
      <c r="F366" s="473"/>
      <c r="G366" s="470"/>
      <c r="H366" s="470">
        <v>6</v>
      </c>
      <c r="I366" s="470"/>
      <c r="J366" s="470"/>
      <c r="K366" s="488">
        <v>11608546</v>
      </c>
      <c r="L366" s="1007">
        <f t="shared" si="52"/>
        <v>69651276</v>
      </c>
      <c r="M366" s="1007">
        <f t="shared" si="53"/>
        <v>0</v>
      </c>
      <c r="N366" s="1007">
        <f t="shared" si="54"/>
        <v>69651276</v>
      </c>
      <c r="O366" s="1007">
        <f t="shared" si="55"/>
        <v>0</v>
      </c>
      <c r="P366" s="1007">
        <f t="shared" si="56"/>
        <v>0</v>
      </c>
      <c r="Q366" s="1207"/>
      <c r="R366" s="1202"/>
      <c r="S366" s="445">
        <v>6</v>
      </c>
      <c r="T366" s="991">
        <f t="shared" si="57"/>
        <v>0</v>
      </c>
      <c r="U366" s="1008">
        <v>68290338</v>
      </c>
    </row>
    <row r="367" spans="1:21" ht="15.75">
      <c r="A367" s="473">
        <v>357</v>
      </c>
      <c r="B367" s="491" t="s">
        <v>1528</v>
      </c>
      <c r="C367" s="493">
        <v>1000115215</v>
      </c>
      <c r="D367" s="470">
        <v>5</v>
      </c>
      <c r="E367" s="819" t="s">
        <v>1314</v>
      </c>
      <c r="F367" s="473"/>
      <c r="G367" s="470"/>
      <c r="H367" s="470">
        <v>5</v>
      </c>
      <c r="I367" s="470"/>
      <c r="J367" s="470"/>
      <c r="K367" s="488"/>
      <c r="L367" s="1007">
        <f t="shared" si="52"/>
        <v>0</v>
      </c>
      <c r="M367" s="1007">
        <f t="shared" si="53"/>
        <v>0</v>
      </c>
      <c r="N367" s="1007">
        <f t="shared" si="54"/>
        <v>0</v>
      </c>
      <c r="O367" s="1007">
        <f t="shared" si="55"/>
        <v>0</v>
      </c>
      <c r="P367" s="1007">
        <f t="shared" si="56"/>
        <v>0</v>
      </c>
      <c r="Q367" s="1207"/>
      <c r="R367" s="1202"/>
      <c r="S367" s="445">
        <v>5</v>
      </c>
      <c r="T367" s="991">
        <f t="shared" si="57"/>
        <v>0</v>
      </c>
      <c r="U367" s="1008">
        <v>9604690</v>
      </c>
    </row>
    <row r="368" spans="1:21" ht="15.75">
      <c r="A368" s="473">
        <v>358</v>
      </c>
      <c r="B368" s="819" t="s">
        <v>1529</v>
      </c>
      <c r="C368" s="465">
        <v>1000115209</v>
      </c>
      <c r="D368" s="470">
        <v>5</v>
      </c>
      <c r="E368" s="819" t="s">
        <v>1314</v>
      </c>
      <c r="F368" s="473"/>
      <c r="G368" s="470"/>
      <c r="H368" s="470">
        <v>5</v>
      </c>
      <c r="I368" s="470"/>
      <c r="J368" s="470"/>
      <c r="K368" s="488">
        <v>2463031</v>
      </c>
      <c r="L368" s="1007">
        <f t="shared" si="52"/>
        <v>12315155</v>
      </c>
      <c r="M368" s="1007">
        <f t="shared" si="53"/>
        <v>0</v>
      </c>
      <c r="N368" s="1007">
        <f t="shared" si="54"/>
        <v>12315155</v>
      </c>
      <c r="O368" s="1007">
        <f t="shared" si="55"/>
        <v>0</v>
      </c>
      <c r="P368" s="1007">
        <f t="shared" si="56"/>
        <v>0</v>
      </c>
      <c r="Q368" s="1207"/>
      <c r="R368" s="1202"/>
      <c r="S368" s="445">
        <v>5</v>
      </c>
      <c r="T368" s="991">
        <f t="shared" si="57"/>
        <v>0</v>
      </c>
      <c r="U368" s="1008">
        <v>12068485</v>
      </c>
    </row>
    <row r="369" spans="1:21" ht="15.75">
      <c r="A369" s="473">
        <v>359</v>
      </c>
      <c r="B369" s="819" t="s">
        <v>1530</v>
      </c>
      <c r="C369" s="465">
        <v>1000115214</v>
      </c>
      <c r="D369" s="470">
        <v>5</v>
      </c>
      <c r="E369" s="819" t="s">
        <v>1314</v>
      </c>
      <c r="F369" s="473"/>
      <c r="G369" s="470"/>
      <c r="H369" s="470">
        <v>5</v>
      </c>
      <c r="I369" s="470"/>
      <c r="J369" s="470"/>
      <c r="K369" s="488">
        <v>4809415</v>
      </c>
      <c r="L369" s="1007">
        <f t="shared" si="52"/>
        <v>24047075</v>
      </c>
      <c r="M369" s="1007">
        <f t="shared" si="53"/>
        <v>0</v>
      </c>
      <c r="N369" s="1007">
        <f t="shared" si="54"/>
        <v>24047075</v>
      </c>
      <c r="O369" s="1007">
        <f t="shared" si="55"/>
        <v>0</v>
      </c>
      <c r="P369" s="1007">
        <f t="shared" si="56"/>
        <v>0</v>
      </c>
      <c r="Q369" s="1207"/>
      <c r="R369" s="1202"/>
      <c r="S369" s="445">
        <v>5</v>
      </c>
      <c r="T369" s="991">
        <f t="shared" si="57"/>
        <v>0</v>
      </c>
      <c r="U369" s="1008">
        <v>23562280</v>
      </c>
    </row>
    <row r="370" spans="1:21" ht="30">
      <c r="A370" s="473">
        <v>360</v>
      </c>
      <c r="B370" s="819" t="s">
        <v>1531</v>
      </c>
      <c r="C370" s="465">
        <v>1000115212</v>
      </c>
      <c r="D370" s="470">
        <v>6</v>
      </c>
      <c r="E370" s="819" t="s">
        <v>1314</v>
      </c>
      <c r="F370" s="473"/>
      <c r="G370" s="470"/>
      <c r="H370" s="470">
        <v>6</v>
      </c>
      <c r="I370" s="470"/>
      <c r="J370" s="470"/>
      <c r="K370" s="488">
        <v>4138699</v>
      </c>
      <c r="L370" s="1007">
        <f t="shared" si="52"/>
        <v>24832194</v>
      </c>
      <c r="M370" s="1007">
        <f t="shared" si="53"/>
        <v>0</v>
      </c>
      <c r="N370" s="1007">
        <f t="shared" si="54"/>
        <v>24832194</v>
      </c>
      <c r="O370" s="1007">
        <f t="shared" si="55"/>
        <v>0</v>
      </c>
      <c r="P370" s="1007">
        <f t="shared" si="56"/>
        <v>0</v>
      </c>
      <c r="Q370" s="1207"/>
      <c r="R370" s="1202"/>
      <c r="S370" s="445">
        <v>6</v>
      </c>
      <c r="T370" s="991">
        <f t="shared" si="57"/>
        <v>0</v>
      </c>
      <c r="U370" s="1008">
        <v>24347298</v>
      </c>
    </row>
    <row r="371" spans="1:21" ht="15.75">
      <c r="A371" s="473">
        <v>361</v>
      </c>
      <c r="B371" s="819" t="s">
        <v>1532</v>
      </c>
      <c r="C371" s="465">
        <v>1000115205</v>
      </c>
      <c r="D371" s="470">
        <v>2</v>
      </c>
      <c r="E371" s="819" t="s">
        <v>1314</v>
      </c>
      <c r="F371" s="473"/>
      <c r="G371" s="470"/>
      <c r="H371" s="470">
        <v>2</v>
      </c>
      <c r="I371" s="470"/>
      <c r="J371" s="470"/>
      <c r="K371" s="488">
        <v>4576122</v>
      </c>
      <c r="L371" s="1007">
        <f t="shared" si="52"/>
        <v>9152244</v>
      </c>
      <c r="M371" s="1007">
        <f t="shared" si="53"/>
        <v>0</v>
      </c>
      <c r="N371" s="1007">
        <f t="shared" si="54"/>
        <v>9152244</v>
      </c>
      <c r="O371" s="1007">
        <f t="shared" si="55"/>
        <v>0</v>
      </c>
      <c r="P371" s="1007">
        <f t="shared" si="56"/>
        <v>0</v>
      </c>
      <c r="Q371" s="1207"/>
      <c r="R371" s="1202"/>
      <c r="S371" s="445">
        <v>2</v>
      </c>
      <c r="T371" s="991">
        <f t="shared" si="57"/>
        <v>0</v>
      </c>
      <c r="U371" s="1008">
        <v>8962702</v>
      </c>
    </row>
    <row r="372" spans="1:21" ht="15.75">
      <c r="A372" s="473">
        <v>362</v>
      </c>
      <c r="B372" s="819" t="s">
        <v>1533</v>
      </c>
      <c r="C372" s="465">
        <v>1000115210</v>
      </c>
      <c r="D372" s="470">
        <v>2</v>
      </c>
      <c r="E372" s="819" t="s">
        <v>1314</v>
      </c>
      <c r="F372" s="473"/>
      <c r="G372" s="470"/>
      <c r="H372" s="470">
        <v>2</v>
      </c>
      <c r="I372" s="470"/>
      <c r="J372" s="470"/>
      <c r="K372" s="488">
        <v>4576122</v>
      </c>
      <c r="L372" s="1007">
        <f t="shared" si="52"/>
        <v>9152244</v>
      </c>
      <c r="M372" s="1007">
        <f t="shared" si="53"/>
        <v>0</v>
      </c>
      <c r="N372" s="1007">
        <f t="shared" si="54"/>
        <v>9152244</v>
      </c>
      <c r="O372" s="1007">
        <f t="shared" si="55"/>
        <v>0</v>
      </c>
      <c r="P372" s="1007">
        <f t="shared" si="56"/>
        <v>0</v>
      </c>
      <c r="Q372" s="1207"/>
      <c r="R372" s="1202"/>
      <c r="S372" s="445">
        <v>2</v>
      </c>
      <c r="T372" s="991">
        <f t="shared" si="57"/>
        <v>0</v>
      </c>
      <c r="U372" s="1008">
        <v>8962702</v>
      </c>
    </row>
    <row r="373" spans="1:21" ht="15.75">
      <c r="A373" s="473">
        <v>363</v>
      </c>
      <c r="B373" s="819" t="s">
        <v>1534</v>
      </c>
      <c r="C373" s="465">
        <v>1000115205</v>
      </c>
      <c r="D373" s="470">
        <v>3</v>
      </c>
      <c r="E373" s="819" t="s">
        <v>1314</v>
      </c>
      <c r="F373" s="473"/>
      <c r="G373" s="470"/>
      <c r="H373" s="470">
        <v>3</v>
      </c>
      <c r="I373" s="470"/>
      <c r="J373" s="470"/>
      <c r="K373" s="488">
        <v>4576122</v>
      </c>
      <c r="L373" s="1007">
        <f t="shared" si="52"/>
        <v>13728366</v>
      </c>
      <c r="M373" s="1007">
        <f t="shared" si="53"/>
        <v>0</v>
      </c>
      <c r="N373" s="1007">
        <f t="shared" si="54"/>
        <v>13728366</v>
      </c>
      <c r="O373" s="1007">
        <f t="shared" si="55"/>
        <v>0</v>
      </c>
      <c r="P373" s="1007">
        <f t="shared" si="56"/>
        <v>0</v>
      </c>
      <c r="Q373" s="1207"/>
      <c r="R373" s="1202"/>
      <c r="S373" s="445">
        <v>3</v>
      </c>
      <c r="T373" s="991">
        <f t="shared" si="57"/>
        <v>0</v>
      </c>
      <c r="U373" s="1008">
        <v>13450197</v>
      </c>
    </row>
    <row r="374" spans="1:21" ht="15.75">
      <c r="A374" s="473">
        <v>364</v>
      </c>
      <c r="B374" s="819" t="s">
        <v>1535</v>
      </c>
      <c r="C374" s="465">
        <v>1000114101</v>
      </c>
      <c r="D374" s="470">
        <v>2</v>
      </c>
      <c r="E374" s="819" t="s">
        <v>1314</v>
      </c>
      <c r="F374" s="473"/>
      <c r="G374" s="470"/>
      <c r="H374" s="470">
        <v>2</v>
      </c>
      <c r="I374" s="470"/>
      <c r="J374" s="470"/>
      <c r="K374" s="488">
        <v>1760910</v>
      </c>
      <c r="L374" s="1007">
        <f t="shared" si="52"/>
        <v>3521820</v>
      </c>
      <c r="M374" s="1007">
        <f t="shared" si="53"/>
        <v>0</v>
      </c>
      <c r="N374" s="1007">
        <f t="shared" si="54"/>
        <v>3521820</v>
      </c>
      <c r="O374" s="1007">
        <f t="shared" si="55"/>
        <v>0</v>
      </c>
      <c r="P374" s="1007">
        <f t="shared" si="56"/>
        <v>0</v>
      </c>
      <c r="Q374" s="1207"/>
      <c r="R374" s="1202"/>
      <c r="S374" s="445">
        <v>2</v>
      </c>
      <c r="T374" s="991">
        <f t="shared" si="57"/>
        <v>0</v>
      </c>
      <c r="U374" s="1008">
        <v>3448138</v>
      </c>
    </row>
    <row r="375" spans="1:21" ht="15.75">
      <c r="A375" s="473">
        <v>365</v>
      </c>
      <c r="B375" s="819" t="s">
        <v>1347</v>
      </c>
      <c r="C375" s="465">
        <v>1000113869</v>
      </c>
      <c r="D375" s="470">
        <v>1</v>
      </c>
      <c r="E375" s="819" t="s">
        <v>1314</v>
      </c>
      <c r="F375" s="473"/>
      <c r="G375" s="470"/>
      <c r="H375" s="470">
        <v>1</v>
      </c>
      <c r="I375" s="470"/>
      <c r="J375" s="470"/>
      <c r="K375" s="488">
        <v>14849966</v>
      </c>
      <c r="L375" s="1007">
        <f t="shared" ref="L375:L388" si="58">K375*D375</f>
        <v>14849966</v>
      </c>
      <c r="M375" s="1007">
        <f t="shared" ref="M375:M388" si="59">K375*G375</f>
        <v>0</v>
      </c>
      <c r="N375" s="1007">
        <f t="shared" ref="N375:N388" si="60">K375*H375</f>
        <v>14849966</v>
      </c>
      <c r="O375" s="1007">
        <f t="shared" ref="O375:O388" si="61">K375*I375</f>
        <v>0</v>
      </c>
      <c r="P375" s="1007">
        <f t="shared" ref="P375:P388" si="62">K375*J375</f>
        <v>0</v>
      </c>
      <c r="Q375" s="1207"/>
      <c r="R375" s="1202"/>
      <c r="S375" s="445">
        <v>1</v>
      </c>
      <c r="T375" s="991">
        <f t="shared" si="57"/>
        <v>0</v>
      </c>
      <c r="U375" s="1008">
        <v>14555567</v>
      </c>
    </row>
    <row r="376" spans="1:21" ht="15.75">
      <c r="A376" s="473">
        <v>366</v>
      </c>
      <c r="B376" s="819" t="s">
        <v>1536</v>
      </c>
      <c r="C376" s="465">
        <v>1000113868</v>
      </c>
      <c r="D376" s="470">
        <v>1</v>
      </c>
      <c r="E376" s="819" t="s">
        <v>1314</v>
      </c>
      <c r="F376" s="473"/>
      <c r="G376" s="470"/>
      <c r="H376" s="470">
        <v>1</v>
      </c>
      <c r="I376" s="470"/>
      <c r="J376" s="470"/>
      <c r="K376" s="488">
        <v>30843962</v>
      </c>
      <c r="L376" s="1007">
        <f t="shared" si="58"/>
        <v>30843962</v>
      </c>
      <c r="M376" s="1007">
        <f t="shared" si="59"/>
        <v>0</v>
      </c>
      <c r="N376" s="1007">
        <f t="shared" si="60"/>
        <v>30843962</v>
      </c>
      <c r="O376" s="1007">
        <f t="shared" si="61"/>
        <v>0</v>
      </c>
      <c r="P376" s="1007">
        <f t="shared" si="62"/>
        <v>0</v>
      </c>
      <c r="Q376" s="1207"/>
      <c r="R376" s="1202"/>
      <c r="S376" s="445">
        <v>1</v>
      </c>
      <c r="T376" s="991">
        <f t="shared" si="57"/>
        <v>0</v>
      </c>
      <c r="U376" s="1008">
        <v>30328508</v>
      </c>
    </row>
    <row r="377" spans="1:21" ht="15.75">
      <c r="A377" s="473">
        <v>367</v>
      </c>
      <c r="B377" s="819" t="s">
        <v>1537</v>
      </c>
      <c r="C377" s="465">
        <v>1000113872</v>
      </c>
      <c r="D377" s="470">
        <v>2</v>
      </c>
      <c r="E377" s="819" t="s">
        <v>1314</v>
      </c>
      <c r="F377" s="473"/>
      <c r="G377" s="470"/>
      <c r="H377" s="470">
        <v>2</v>
      </c>
      <c r="I377" s="470"/>
      <c r="J377" s="470"/>
      <c r="K377" s="488">
        <v>762687</v>
      </c>
      <c r="L377" s="1007">
        <f t="shared" si="58"/>
        <v>1525374</v>
      </c>
      <c r="M377" s="1007">
        <f t="shared" si="59"/>
        <v>0</v>
      </c>
      <c r="N377" s="1007">
        <f t="shared" si="60"/>
        <v>1525374</v>
      </c>
      <c r="O377" s="1007">
        <f t="shared" si="61"/>
        <v>0</v>
      </c>
      <c r="P377" s="1007">
        <f t="shared" si="62"/>
        <v>0</v>
      </c>
      <c r="Q377" s="1207"/>
      <c r="R377" s="1202"/>
      <c r="S377" s="445">
        <v>2</v>
      </c>
      <c r="T377" s="991">
        <f t="shared" si="57"/>
        <v>0</v>
      </c>
      <c r="U377" s="1008">
        <v>1491736</v>
      </c>
    </row>
    <row r="378" spans="1:21" ht="15.75">
      <c r="A378" s="473">
        <v>368</v>
      </c>
      <c r="B378" s="819" t="s">
        <v>875</v>
      </c>
      <c r="C378" s="465">
        <v>1000113873</v>
      </c>
      <c r="D378" s="470">
        <v>2</v>
      </c>
      <c r="E378" s="819" t="s">
        <v>1314</v>
      </c>
      <c r="F378" s="473"/>
      <c r="G378" s="470"/>
      <c r="H378" s="470">
        <v>2</v>
      </c>
      <c r="I378" s="470"/>
      <c r="J378" s="470"/>
      <c r="K378" s="488">
        <v>762687</v>
      </c>
      <c r="L378" s="1007">
        <f t="shared" si="58"/>
        <v>1525374</v>
      </c>
      <c r="M378" s="1007">
        <f t="shared" si="59"/>
        <v>0</v>
      </c>
      <c r="N378" s="1007">
        <f t="shared" si="60"/>
        <v>1525374</v>
      </c>
      <c r="O378" s="1007">
        <f t="shared" si="61"/>
        <v>0</v>
      </c>
      <c r="P378" s="1007">
        <f t="shared" si="62"/>
        <v>0</v>
      </c>
      <c r="Q378" s="1207"/>
      <c r="R378" s="1202"/>
      <c r="S378" s="445">
        <v>2</v>
      </c>
      <c r="T378" s="991">
        <f t="shared" si="57"/>
        <v>0</v>
      </c>
      <c r="U378" s="1008">
        <v>1491736</v>
      </c>
    </row>
    <row r="379" spans="1:21" ht="15.75">
      <c r="A379" s="473">
        <v>369</v>
      </c>
      <c r="B379" s="819" t="s">
        <v>1410</v>
      </c>
      <c r="C379" s="465">
        <v>1000125858</v>
      </c>
      <c r="D379" s="470">
        <v>3</v>
      </c>
      <c r="E379" s="819" t="s">
        <v>1314</v>
      </c>
      <c r="F379" s="473"/>
      <c r="G379" s="470"/>
      <c r="H379" s="470">
        <v>2</v>
      </c>
      <c r="I379" s="470">
        <v>1</v>
      </c>
      <c r="J379" s="470"/>
      <c r="K379" s="488"/>
      <c r="L379" s="1007"/>
      <c r="M379" s="1007"/>
      <c r="N379" s="1007"/>
      <c r="O379" s="1007"/>
      <c r="P379" s="1007"/>
      <c r="Q379" s="1207"/>
      <c r="R379" s="1202"/>
      <c r="S379" s="445">
        <v>2</v>
      </c>
      <c r="T379" s="991">
        <f t="shared" si="57"/>
        <v>1</v>
      </c>
      <c r="U379" s="1008">
        <v>26314528</v>
      </c>
    </row>
    <row r="380" spans="1:21" ht="15.75">
      <c r="A380" s="473">
        <v>370</v>
      </c>
      <c r="B380" s="819" t="s">
        <v>1400</v>
      </c>
      <c r="C380" s="465">
        <v>1000113904</v>
      </c>
      <c r="D380" s="470">
        <v>30</v>
      </c>
      <c r="E380" s="819" t="s">
        <v>1314</v>
      </c>
      <c r="F380" s="473"/>
      <c r="G380" s="470"/>
      <c r="H380" s="470">
        <v>30</v>
      </c>
      <c r="I380" s="470"/>
      <c r="J380" s="470"/>
      <c r="K380" s="488">
        <v>28414</v>
      </c>
      <c r="L380" s="1007">
        <f t="shared" si="58"/>
        <v>852420</v>
      </c>
      <c r="M380" s="1007">
        <f t="shared" si="59"/>
        <v>0</v>
      </c>
      <c r="N380" s="1007">
        <f t="shared" si="60"/>
        <v>852420</v>
      </c>
      <c r="O380" s="1007">
        <f t="shared" si="61"/>
        <v>0</v>
      </c>
      <c r="P380" s="1007">
        <f t="shared" si="62"/>
        <v>0</v>
      </c>
      <c r="Q380" s="1207"/>
      <c r="R380" s="1202"/>
      <c r="S380" s="445">
        <v>30</v>
      </c>
      <c r="T380" s="991">
        <f t="shared" si="57"/>
        <v>0</v>
      </c>
      <c r="U380" s="1008">
        <v>829020</v>
      </c>
    </row>
    <row r="381" spans="1:21" ht="15.75">
      <c r="A381" s="473">
        <v>371</v>
      </c>
      <c r="B381" s="819" t="s">
        <v>869</v>
      </c>
      <c r="C381" s="465">
        <v>1000113879</v>
      </c>
      <c r="D381" s="470">
        <v>4</v>
      </c>
      <c r="E381" s="819" t="s">
        <v>1314</v>
      </c>
      <c r="F381" s="473"/>
      <c r="G381" s="470"/>
      <c r="H381" s="470">
        <v>2</v>
      </c>
      <c r="I381" s="470">
        <v>2</v>
      </c>
      <c r="J381" s="470"/>
      <c r="K381" s="488">
        <v>1054303</v>
      </c>
      <c r="L381" s="1007">
        <f t="shared" si="58"/>
        <v>4217212</v>
      </c>
      <c r="M381" s="1007">
        <f t="shared" si="59"/>
        <v>0</v>
      </c>
      <c r="N381" s="1007">
        <f t="shared" si="60"/>
        <v>2108606</v>
      </c>
      <c r="O381" s="1007">
        <f t="shared" si="61"/>
        <v>2108606</v>
      </c>
      <c r="P381" s="1007">
        <f t="shared" si="62"/>
        <v>0</v>
      </c>
      <c r="Q381" s="1207"/>
      <c r="R381" s="1202"/>
      <c r="S381" s="445">
        <v>2</v>
      </c>
      <c r="T381" s="991">
        <f t="shared" si="57"/>
        <v>2</v>
      </c>
      <c r="U381" s="1008">
        <v>2066426</v>
      </c>
    </row>
    <row r="382" spans="1:21" ht="15.75">
      <c r="A382" s="473">
        <v>372</v>
      </c>
      <c r="B382" s="491" t="s">
        <v>1538</v>
      </c>
      <c r="C382" s="493">
        <v>306494</v>
      </c>
      <c r="D382" s="470">
        <v>20</v>
      </c>
      <c r="E382" s="819" t="s">
        <v>1314</v>
      </c>
      <c r="F382" s="473"/>
      <c r="G382" s="470"/>
      <c r="H382" s="470">
        <v>10</v>
      </c>
      <c r="I382" s="470">
        <v>10</v>
      </c>
      <c r="J382" s="470"/>
      <c r="K382" s="488"/>
      <c r="L382" s="1007">
        <f t="shared" si="58"/>
        <v>0</v>
      </c>
      <c r="M382" s="1007">
        <f t="shared" si="59"/>
        <v>0</v>
      </c>
      <c r="N382" s="1007">
        <f t="shared" si="60"/>
        <v>0</v>
      </c>
      <c r="O382" s="1007">
        <f t="shared" si="61"/>
        <v>0</v>
      </c>
      <c r="P382" s="1007">
        <f t="shared" si="62"/>
        <v>0</v>
      </c>
      <c r="Q382" s="1207"/>
      <c r="R382" s="1202"/>
      <c r="S382" s="445">
        <v>10</v>
      </c>
      <c r="T382" s="991">
        <f t="shared" si="57"/>
        <v>10</v>
      </c>
      <c r="U382" s="1008">
        <v>126456310</v>
      </c>
    </row>
    <row r="383" spans="1:21" ht="15.75">
      <c r="A383" s="473">
        <v>373</v>
      </c>
      <c r="B383" s="491" t="s">
        <v>1539</v>
      </c>
      <c r="C383" s="493">
        <v>3546752</v>
      </c>
      <c r="D383" s="470">
        <v>20</v>
      </c>
      <c r="E383" s="819" t="s">
        <v>1314</v>
      </c>
      <c r="F383" s="473"/>
      <c r="G383" s="470"/>
      <c r="H383" s="470">
        <v>10</v>
      </c>
      <c r="I383" s="470">
        <v>10</v>
      </c>
      <c r="J383" s="470"/>
      <c r="K383" s="488"/>
      <c r="L383" s="1007">
        <f t="shared" si="58"/>
        <v>0</v>
      </c>
      <c r="M383" s="1007">
        <f t="shared" si="59"/>
        <v>0</v>
      </c>
      <c r="N383" s="1007">
        <f t="shared" si="60"/>
        <v>0</v>
      </c>
      <c r="O383" s="1007">
        <f t="shared" si="61"/>
        <v>0</v>
      </c>
      <c r="P383" s="1007">
        <f t="shared" si="62"/>
        <v>0</v>
      </c>
      <c r="Q383" s="1207"/>
      <c r="R383" s="1202"/>
      <c r="S383" s="445">
        <v>10</v>
      </c>
      <c r="T383" s="991">
        <f t="shared" si="57"/>
        <v>10</v>
      </c>
      <c r="U383" s="1008">
        <v>109215620</v>
      </c>
    </row>
    <row r="384" spans="1:21" ht="15.75">
      <c r="A384" s="473">
        <v>374</v>
      </c>
      <c r="B384" s="819" t="s">
        <v>1407</v>
      </c>
      <c r="C384" s="465">
        <v>1000113922</v>
      </c>
      <c r="D384" s="470">
        <v>1</v>
      </c>
      <c r="E384" s="819" t="s">
        <v>1314</v>
      </c>
      <c r="F384" s="473"/>
      <c r="G384" s="470"/>
      <c r="H384" s="470">
        <v>1</v>
      </c>
      <c r="I384" s="470"/>
      <c r="J384" s="470"/>
      <c r="K384" s="488">
        <v>61912245</v>
      </c>
      <c r="L384" s="1007">
        <f t="shared" si="58"/>
        <v>61912245</v>
      </c>
      <c r="M384" s="1007">
        <f t="shared" si="59"/>
        <v>0</v>
      </c>
      <c r="N384" s="1007">
        <f t="shared" si="60"/>
        <v>61912245</v>
      </c>
      <c r="O384" s="1007">
        <f t="shared" si="61"/>
        <v>0</v>
      </c>
      <c r="P384" s="1007">
        <f t="shared" si="62"/>
        <v>0</v>
      </c>
      <c r="Q384" s="1207"/>
      <c r="R384" s="1202"/>
      <c r="S384" s="445">
        <v>1</v>
      </c>
      <c r="T384" s="991">
        <f t="shared" si="57"/>
        <v>0</v>
      </c>
      <c r="U384" s="1008">
        <v>60697064</v>
      </c>
    </row>
    <row r="385" spans="1:21" ht="15.75">
      <c r="A385" s="473">
        <v>375</v>
      </c>
      <c r="B385" s="819" t="s">
        <v>1400</v>
      </c>
      <c r="C385" s="465">
        <v>1000113946</v>
      </c>
      <c r="D385" s="470">
        <v>100</v>
      </c>
      <c r="E385" s="819" t="s">
        <v>1314</v>
      </c>
      <c r="F385" s="473"/>
      <c r="G385" s="470"/>
      <c r="H385" s="470">
        <v>100</v>
      </c>
      <c r="I385" s="470"/>
      <c r="J385" s="470"/>
      <c r="K385" s="488">
        <v>35218</v>
      </c>
      <c r="L385" s="1007">
        <f t="shared" si="58"/>
        <v>3521800</v>
      </c>
      <c r="M385" s="1007">
        <f t="shared" si="59"/>
        <v>0</v>
      </c>
      <c r="N385" s="1007">
        <f t="shared" si="60"/>
        <v>3521800</v>
      </c>
      <c r="O385" s="1007">
        <f t="shared" si="61"/>
        <v>0</v>
      </c>
      <c r="P385" s="1007">
        <f t="shared" si="62"/>
        <v>0</v>
      </c>
      <c r="Q385" s="1207"/>
      <c r="R385" s="1202"/>
      <c r="S385" s="445">
        <v>100</v>
      </c>
      <c r="T385" s="991">
        <f t="shared" si="57"/>
        <v>0</v>
      </c>
      <c r="U385" s="1008">
        <v>3448100</v>
      </c>
    </row>
    <row r="386" spans="1:21" ht="15.75">
      <c r="A386" s="473">
        <v>376</v>
      </c>
      <c r="B386" s="819" t="s">
        <v>1540</v>
      </c>
      <c r="C386" s="465">
        <v>1000113949</v>
      </c>
      <c r="D386" s="470">
        <v>1</v>
      </c>
      <c r="E386" s="819" t="s">
        <v>1314</v>
      </c>
      <c r="F386" s="473"/>
      <c r="G386" s="470"/>
      <c r="H386" s="470">
        <v>1</v>
      </c>
      <c r="I386" s="470"/>
      <c r="J386" s="470"/>
      <c r="K386" s="488">
        <v>1996446</v>
      </c>
      <c r="L386" s="1007">
        <f t="shared" si="58"/>
        <v>1996446</v>
      </c>
      <c r="M386" s="1007">
        <f t="shared" si="59"/>
        <v>0</v>
      </c>
      <c r="N386" s="1007">
        <f t="shared" si="60"/>
        <v>1996446</v>
      </c>
      <c r="O386" s="1007">
        <f t="shared" si="61"/>
        <v>0</v>
      </c>
      <c r="P386" s="1007">
        <f t="shared" si="62"/>
        <v>0</v>
      </c>
      <c r="Q386" s="1207"/>
      <c r="R386" s="1202"/>
      <c r="S386" s="445">
        <v>1</v>
      </c>
      <c r="T386" s="991">
        <f t="shared" si="57"/>
        <v>0</v>
      </c>
      <c r="U386" s="1008">
        <v>1956402</v>
      </c>
    </row>
    <row r="387" spans="1:21" ht="15.75">
      <c r="A387" s="473">
        <v>377</v>
      </c>
      <c r="B387" s="819" t="s">
        <v>1541</v>
      </c>
      <c r="C387" s="465">
        <v>1000115352</v>
      </c>
      <c r="D387" s="470">
        <v>1</v>
      </c>
      <c r="E387" s="819" t="s">
        <v>1314</v>
      </c>
      <c r="F387" s="473"/>
      <c r="G387" s="470"/>
      <c r="H387" s="470">
        <v>1</v>
      </c>
      <c r="I387" s="470"/>
      <c r="J387" s="470"/>
      <c r="K387" s="488">
        <v>1996446</v>
      </c>
      <c r="L387" s="1007">
        <f t="shared" si="58"/>
        <v>1996446</v>
      </c>
      <c r="M387" s="1007">
        <f t="shared" si="59"/>
        <v>0</v>
      </c>
      <c r="N387" s="1007">
        <f t="shared" si="60"/>
        <v>1996446</v>
      </c>
      <c r="O387" s="1007">
        <f t="shared" si="61"/>
        <v>0</v>
      </c>
      <c r="P387" s="1007">
        <f t="shared" si="62"/>
        <v>0</v>
      </c>
      <c r="Q387" s="1207"/>
      <c r="R387" s="1202"/>
      <c r="S387" s="445">
        <v>1</v>
      </c>
      <c r="T387" s="991">
        <f t="shared" si="57"/>
        <v>0</v>
      </c>
      <c r="U387" s="1008">
        <v>1226395</v>
      </c>
    </row>
    <row r="388" spans="1:21" ht="15.75">
      <c r="A388" s="473">
        <v>378</v>
      </c>
      <c r="B388" s="819" t="s">
        <v>1542</v>
      </c>
      <c r="C388" s="465">
        <v>3543526</v>
      </c>
      <c r="D388" s="470">
        <v>5</v>
      </c>
      <c r="E388" s="819" t="s">
        <v>1314</v>
      </c>
      <c r="F388" s="473"/>
      <c r="G388" s="470"/>
      <c r="H388" s="470">
        <v>3</v>
      </c>
      <c r="I388" s="470">
        <v>2</v>
      </c>
      <c r="J388" s="470"/>
      <c r="K388" s="488">
        <v>5392646</v>
      </c>
      <c r="L388" s="1007">
        <f t="shared" si="58"/>
        <v>26963230</v>
      </c>
      <c r="M388" s="1007">
        <f t="shared" si="59"/>
        <v>0</v>
      </c>
      <c r="N388" s="1007">
        <f t="shared" si="60"/>
        <v>16177938</v>
      </c>
      <c r="O388" s="1007">
        <f t="shared" si="61"/>
        <v>10785292</v>
      </c>
      <c r="P388" s="1007">
        <f t="shared" si="62"/>
        <v>0</v>
      </c>
      <c r="Q388" s="1207"/>
      <c r="R388" s="1203"/>
      <c r="S388" s="445">
        <v>3</v>
      </c>
      <c r="T388" s="991">
        <f t="shared" si="57"/>
        <v>2</v>
      </c>
      <c r="U388" s="1008">
        <v>15829278</v>
      </c>
    </row>
    <row r="389" spans="1:21" ht="18.75" customHeight="1">
      <c r="A389" s="1170" t="s">
        <v>1543</v>
      </c>
      <c r="B389" s="1170"/>
      <c r="C389" s="1170"/>
      <c r="D389" s="1170"/>
      <c r="E389" s="1170"/>
      <c r="F389" s="1170"/>
      <c r="G389" s="1170"/>
      <c r="H389" s="1170"/>
      <c r="I389" s="1170"/>
      <c r="J389" s="1170"/>
      <c r="K389" s="1170"/>
      <c r="L389" s="1007">
        <f>SUM(L390:L405)</f>
        <v>1978120305.1300001</v>
      </c>
      <c r="M389" s="1007">
        <f>SUM(M390:M405)</f>
        <v>0</v>
      </c>
      <c r="N389" s="1007">
        <f>SUM(N390:N405)</f>
        <v>1937692302.25</v>
      </c>
      <c r="O389" s="1007">
        <f>SUM(O390:O405)</f>
        <v>40428002.880000003</v>
      </c>
      <c r="P389" s="1007">
        <f>SUM(P390:P405)</f>
        <v>0</v>
      </c>
      <c r="R389" s="445"/>
      <c r="S389" s="445"/>
      <c r="T389" s="991"/>
      <c r="U389" s="1008"/>
    </row>
    <row r="390" spans="1:21" ht="15.75">
      <c r="A390" s="473">
        <v>379</v>
      </c>
      <c r="B390" s="819" t="s">
        <v>1338</v>
      </c>
      <c r="C390" s="465" t="s">
        <v>1544</v>
      </c>
      <c r="D390" s="470">
        <v>2</v>
      </c>
      <c r="E390" s="819" t="s">
        <v>1314</v>
      </c>
      <c r="F390" s="473"/>
      <c r="G390" s="470"/>
      <c r="H390" s="470">
        <v>2</v>
      </c>
      <c r="I390" s="470"/>
      <c r="J390" s="470"/>
      <c r="K390" s="488">
        <v>8900000</v>
      </c>
      <c r="L390" s="1007">
        <f t="shared" ref="L390:L405" si="63">K390*D390</f>
        <v>17800000</v>
      </c>
      <c r="M390" s="1007">
        <f t="shared" ref="M390:M405" si="64">K390*G390</f>
        <v>0</v>
      </c>
      <c r="N390" s="1007">
        <f t="shared" ref="N390:N405" si="65">K390*H390</f>
        <v>17800000</v>
      </c>
      <c r="O390" s="1007">
        <f t="shared" ref="O390:O405" si="66">K390*I390</f>
        <v>0</v>
      </c>
      <c r="P390" s="1007">
        <f t="shared" ref="P390:P405" si="67">K390*J390</f>
        <v>0</v>
      </c>
      <c r="Q390" s="1206" t="s">
        <v>4235</v>
      </c>
      <c r="R390" s="445"/>
      <c r="S390" s="445"/>
      <c r="T390" s="991">
        <f t="shared" si="57"/>
        <v>2</v>
      </c>
      <c r="U390" s="1008"/>
    </row>
    <row r="391" spans="1:21" ht="15.75">
      <c r="A391" s="473">
        <v>380</v>
      </c>
      <c r="B391" s="819" t="s">
        <v>1413</v>
      </c>
      <c r="C391" s="465" t="s">
        <v>1545</v>
      </c>
      <c r="D391" s="470">
        <v>64</v>
      </c>
      <c r="E391" s="819" t="s">
        <v>1314</v>
      </c>
      <c r="F391" s="473"/>
      <c r="G391" s="470"/>
      <c r="H391" s="470">
        <v>32</v>
      </c>
      <c r="I391" s="470">
        <v>32</v>
      </c>
      <c r="J391" s="470"/>
      <c r="K391" s="488">
        <v>1263375.0900000001</v>
      </c>
      <c r="L391" s="1007">
        <f t="shared" si="63"/>
        <v>80856005.760000005</v>
      </c>
      <c r="M391" s="1007">
        <f t="shared" si="64"/>
        <v>0</v>
      </c>
      <c r="N391" s="1007">
        <f t="shared" si="65"/>
        <v>40428002.880000003</v>
      </c>
      <c r="O391" s="1007">
        <f t="shared" si="66"/>
        <v>40428002.880000003</v>
      </c>
      <c r="P391" s="1007">
        <f t="shared" si="67"/>
        <v>0</v>
      </c>
      <c r="Q391" s="1207"/>
      <c r="R391" s="445"/>
      <c r="S391" s="445"/>
      <c r="T391" s="991">
        <f t="shared" si="57"/>
        <v>64</v>
      </c>
      <c r="U391" s="1008"/>
    </row>
    <row r="392" spans="1:21" ht="15.75">
      <c r="A392" s="473">
        <v>381</v>
      </c>
      <c r="B392" s="819" t="s">
        <v>1546</v>
      </c>
      <c r="C392" s="465" t="s">
        <v>1547</v>
      </c>
      <c r="D392" s="470">
        <v>2</v>
      </c>
      <c r="E392" s="819" t="s">
        <v>1314</v>
      </c>
      <c r="F392" s="473"/>
      <c r="G392" s="470"/>
      <c r="H392" s="470">
        <v>2</v>
      </c>
      <c r="I392" s="470"/>
      <c r="J392" s="470"/>
      <c r="K392" s="488">
        <v>64238278.450000003</v>
      </c>
      <c r="L392" s="1007">
        <f t="shared" si="63"/>
        <v>128476556.90000001</v>
      </c>
      <c r="M392" s="1007">
        <f t="shared" si="64"/>
        <v>0</v>
      </c>
      <c r="N392" s="1007">
        <f t="shared" si="65"/>
        <v>128476556.90000001</v>
      </c>
      <c r="O392" s="1007">
        <f t="shared" si="66"/>
        <v>0</v>
      </c>
      <c r="P392" s="1007">
        <f t="shared" si="67"/>
        <v>0</v>
      </c>
      <c r="Q392" s="1207"/>
      <c r="R392" s="445"/>
      <c r="S392" s="445"/>
      <c r="T392" s="991">
        <f t="shared" si="57"/>
        <v>2</v>
      </c>
      <c r="U392" s="1008"/>
    </row>
    <row r="393" spans="1:21" ht="15.75">
      <c r="A393" s="473">
        <v>382</v>
      </c>
      <c r="B393" s="819" t="s">
        <v>1548</v>
      </c>
      <c r="C393" s="465" t="s">
        <v>1549</v>
      </c>
      <c r="D393" s="470">
        <v>8</v>
      </c>
      <c r="E393" s="819" t="s">
        <v>1314</v>
      </c>
      <c r="F393" s="473"/>
      <c r="G393" s="470"/>
      <c r="H393" s="470">
        <v>8</v>
      </c>
      <c r="I393" s="470"/>
      <c r="J393" s="470"/>
      <c r="K393" s="488">
        <v>2912781.46</v>
      </c>
      <c r="L393" s="1007">
        <f t="shared" si="63"/>
        <v>23302251.68</v>
      </c>
      <c r="M393" s="1007">
        <f t="shared" si="64"/>
        <v>0</v>
      </c>
      <c r="N393" s="1007">
        <f t="shared" si="65"/>
        <v>23302251.68</v>
      </c>
      <c r="O393" s="1007">
        <f t="shared" si="66"/>
        <v>0</v>
      </c>
      <c r="P393" s="1007">
        <f t="shared" si="67"/>
        <v>0</v>
      </c>
      <c r="Q393" s="1207"/>
      <c r="R393" s="445"/>
      <c r="S393" s="445"/>
      <c r="T393" s="991">
        <f t="shared" si="57"/>
        <v>8</v>
      </c>
      <c r="U393" s="1008"/>
    </row>
    <row r="394" spans="1:21" ht="15.75">
      <c r="A394" s="473">
        <v>383</v>
      </c>
      <c r="B394" s="819" t="s">
        <v>1550</v>
      </c>
      <c r="C394" s="465" t="s">
        <v>1551</v>
      </c>
      <c r="D394" s="470">
        <v>1</v>
      </c>
      <c r="E394" s="819" t="s">
        <v>1314</v>
      </c>
      <c r="F394" s="473"/>
      <c r="G394" s="470"/>
      <c r="H394" s="470">
        <v>1</v>
      </c>
      <c r="I394" s="470"/>
      <c r="J394" s="470"/>
      <c r="K394" s="488">
        <v>85317925.799999997</v>
      </c>
      <c r="L394" s="1007">
        <f t="shared" si="63"/>
        <v>85317925.799999997</v>
      </c>
      <c r="M394" s="1007">
        <f t="shared" si="64"/>
        <v>0</v>
      </c>
      <c r="N394" s="1007">
        <f t="shared" si="65"/>
        <v>85317925.799999997</v>
      </c>
      <c r="O394" s="1007">
        <f t="shared" si="66"/>
        <v>0</v>
      </c>
      <c r="P394" s="1007">
        <f t="shared" si="67"/>
        <v>0</v>
      </c>
      <c r="Q394" s="1207"/>
      <c r="R394" s="445"/>
      <c r="S394" s="445"/>
      <c r="T394" s="991">
        <f t="shared" si="57"/>
        <v>1</v>
      </c>
      <c r="U394" s="1008"/>
    </row>
    <row r="395" spans="1:21" ht="15.75">
      <c r="A395" s="473">
        <v>384</v>
      </c>
      <c r="B395" s="819" t="s">
        <v>1359</v>
      </c>
      <c r="C395" s="465" t="s">
        <v>1552</v>
      </c>
      <c r="D395" s="470">
        <v>8</v>
      </c>
      <c r="E395" s="819" t="s">
        <v>1314</v>
      </c>
      <c r="F395" s="473"/>
      <c r="G395" s="470"/>
      <c r="H395" s="470">
        <v>8</v>
      </c>
      <c r="I395" s="470"/>
      <c r="J395" s="470"/>
      <c r="K395" s="488">
        <v>807156.31</v>
      </c>
      <c r="L395" s="1007">
        <f t="shared" si="63"/>
        <v>6457250.4800000004</v>
      </c>
      <c r="M395" s="1007">
        <f t="shared" si="64"/>
        <v>0</v>
      </c>
      <c r="N395" s="1007">
        <f t="shared" si="65"/>
        <v>6457250.4800000004</v>
      </c>
      <c r="O395" s="1007">
        <f t="shared" si="66"/>
        <v>0</v>
      </c>
      <c r="P395" s="1007">
        <f t="shared" si="67"/>
        <v>0</v>
      </c>
      <c r="Q395" s="1207"/>
      <c r="R395" s="445"/>
      <c r="S395" s="445"/>
      <c r="T395" s="991">
        <f t="shared" si="57"/>
        <v>8</v>
      </c>
      <c r="U395" s="1008"/>
    </row>
    <row r="396" spans="1:21" ht="15.75">
      <c r="A396" s="473">
        <v>385</v>
      </c>
      <c r="B396" s="819" t="s">
        <v>1553</v>
      </c>
      <c r="C396" s="465" t="s">
        <v>1554</v>
      </c>
      <c r="D396" s="470">
        <v>4</v>
      </c>
      <c r="E396" s="819" t="s">
        <v>1314</v>
      </c>
      <c r="F396" s="473"/>
      <c r="G396" s="470"/>
      <c r="H396" s="470">
        <v>4</v>
      </c>
      <c r="I396" s="470"/>
      <c r="J396" s="470"/>
      <c r="K396" s="488">
        <v>81985690.439999998</v>
      </c>
      <c r="L396" s="1007">
        <f t="shared" si="63"/>
        <v>327942761.75999999</v>
      </c>
      <c r="M396" s="1007">
        <f t="shared" si="64"/>
        <v>0</v>
      </c>
      <c r="N396" s="1007">
        <f t="shared" si="65"/>
        <v>327942761.75999999</v>
      </c>
      <c r="O396" s="1007">
        <f t="shared" si="66"/>
        <v>0</v>
      </c>
      <c r="P396" s="1007">
        <f t="shared" si="67"/>
        <v>0</v>
      </c>
      <c r="Q396" s="1207"/>
      <c r="R396" s="445"/>
      <c r="S396" s="445"/>
      <c r="T396" s="991">
        <f t="shared" si="57"/>
        <v>4</v>
      </c>
      <c r="U396" s="1008"/>
    </row>
    <row r="397" spans="1:21" ht="15.75">
      <c r="A397" s="473">
        <v>386</v>
      </c>
      <c r="B397" s="819" t="s">
        <v>1359</v>
      </c>
      <c r="C397" s="465" t="s">
        <v>1555</v>
      </c>
      <c r="D397" s="470">
        <v>8</v>
      </c>
      <c r="E397" s="819" t="s">
        <v>1314</v>
      </c>
      <c r="F397" s="473"/>
      <c r="G397" s="470"/>
      <c r="H397" s="470">
        <v>8</v>
      </c>
      <c r="I397" s="470"/>
      <c r="J397" s="470"/>
      <c r="K397" s="488">
        <v>3693199.67</v>
      </c>
      <c r="L397" s="1007">
        <f t="shared" si="63"/>
        <v>29545597.359999999</v>
      </c>
      <c r="M397" s="1007">
        <f t="shared" si="64"/>
        <v>0</v>
      </c>
      <c r="N397" s="1007">
        <f t="shared" si="65"/>
        <v>29545597.359999999</v>
      </c>
      <c r="O397" s="1007">
        <f t="shared" si="66"/>
        <v>0</v>
      </c>
      <c r="P397" s="1007">
        <f t="shared" si="67"/>
        <v>0</v>
      </c>
      <c r="Q397" s="1207"/>
      <c r="R397" s="445"/>
      <c r="S397" s="445"/>
      <c r="T397" s="991">
        <f t="shared" si="57"/>
        <v>8</v>
      </c>
      <c r="U397" s="1008"/>
    </row>
    <row r="398" spans="1:21" ht="15.75">
      <c r="A398" s="473">
        <v>387</v>
      </c>
      <c r="B398" s="819" t="s">
        <v>1556</v>
      </c>
      <c r="C398" s="465" t="s">
        <v>1557</v>
      </c>
      <c r="D398" s="470">
        <v>1</v>
      </c>
      <c r="E398" s="819" t="s">
        <v>1314</v>
      </c>
      <c r="F398" s="473"/>
      <c r="G398" s="470"/>
      <c r="H398" s="470">
        <v>1</v>
      </c>
      <c r="I398" s="470"/>
      <c r="J398" s="470"/>
      <c r="K398" s="488">
        <v>93683607.950000003</v>
      </c>
      <c r="L398" s="1007">
        <f t="shared" si="63"/>
        <v>93683607.950000003</v>
      </c>
      <c r="M398" s="1007">
        <f t="shared" si="64"/>
        <v>0</v>
      </c>
      <c r="N398" s="1007">
        <f t="shared" si="65"/>
        <v>93683607.950000003</v>
      </c>
      <c r="O398" s="1007">
        <f t="shared" si="66"/>
        <v>0</v>
      </c>
      <c r="P398" s="1007">
        <f t="shared" si="67"/>
        <v>0</v>
      </c>
      <c r="Q398" s="1207"/>
      <c r="R398" s="445"/>
      <c r="S398" s="445"/>
      <c r="T398" s="991">
        <f t="shared" si="57"/>
        <v>1</v>
      </c>
      <c r="U398" s="1008"/>
    </row>
    <row r="399" spans="1:21" ht="15.75">
      <c r="A399" s="473">
        <v>388</v>
      </c>
      <c r="B399" s="819" t="s">
        <v>1507</v>
      </c>
      <c r="C399" s="465" t="s">
        <v>1558</v>
      </c>
      <c r="D399" s="470">
        <v>2</v>
      </c>
      <c r="E399" s="819" t="s">
        <v>1314</v>
      </c>
      <c r="F399" s="473"/>
      <c r="G399" s="470"/>
      <c r="H399" s="470">
        <v>2</v>
      </c>
      <c r="I399" s="470"/>
      <c r="J399" s="470"/>
      <c r="K399" s="488">
        <v>37533603.899999999</v>
      </c>
      <c r="L399" s="1007">
        <f t="shared" si="63"/>
        <v>75067207.799999997</v>
      </c>
      <c r="M399" s="1007">
        <f t="shared" si="64"/>
        <v>0</v>
      </c>
      <c r="N399" s="1007">
        <f t="shared" si="65"/>
        <v>75067207.799999997</v>
      </c>
      <c r="O399" s="1007">
        <f t="shared" si="66"/>
        <v>0</v>
      </c>
      <c r="P399" s="1007">
        <f t="shared" si="67"/>
        <v>0</v>
      </c>
      <c r="Q399" s="1207"/>
      <c r="R399" s="445"/>
      <c r="S399" s="445"/>
      <c r="T399" s="991">
        <f t="shared" si="57"/>
        <v>2</v>
      </c>
      <c r="U399" s="1008"/>
    </row>
    <row r="400" spans="1:21" ht="15.75">
      <c r="A400" s="473">
        <v>389</v>
      </c>
      <c r="B400" s="819" t="s">
        <v>1423</v>
      </c>
      <c r="C400" s="465" t="s">
        <v>1559</v>
      </c>
      <c r="D400" s="470">
        <v>2</v>
      </c>
      <c r="E400" s="819" t="s">
        <v>1314</v>
      </c>
      <c r="F400" s="473"/>
      <c r="G400" s="470"/>
      <c r="H400" s="470">
        <v>2</v>
      </c>
      <c r="I400" s="470"/>
      <c r="J400" s="470"/>
      <c r="K400" s="488">
        <v>173536935.15000001</v>
      </c>
      <c r="L400" s="1007">
        <f t="shared" si="63"/>
        <v>347073870.30000001</v>
      </c>
      <c r="M400" s="1007">
        <f t="shared" si="64"/>
        <v>0</v>
      </c>
      <c r="N400" s="1007">
        <f t="shared" si="65"/>
        <v>347073870.30000001</v>
      </c>
      <c r="O400" s="1007">
        <f t="shared" si="66"/>
        <v>0</v>
      </c>
      <c r="P400" s="1007">
        <f t="shared" si="67"/>
        <v>0</v>
      </c>
      <c r="Q400" s="1207"/>
      <c r="R400" s="445"/>
      <c r="S400" s="445"/>
      <c r="T400" s="991">
        <f t="shared" si="57"/>
        <v>2</v>
      </c>
      <c r="U400" s="1008"/>
    </row>
    <row r="401" spans="1:21" ht="15.75">
      <c r="A401" s="473">
        <v>390</v>
      </c>
      <c r="B401" s="819" t="s">
        <v>1498</v>
      </c>
      <c r="C401" s="465" t="s">
        <v>1560</v>
      </c>
      <c r="D401" s="470">
        <v>2</v>
      </c>
      <c r="E401" s="819" t="s">
        <v>1314</v>
      </c>
      <c r="F401" s="473"/>
      <c r="G401" s="470"/>
      <c r="H401" s="470">
        <v>2</v>
      </c>
      <c r="I401" s="470"/>
      <c r="J401" s="470"/>
      <c r="K401" s="488">
        <v>241304642.41999999</v>
      </c>
      <c r="L401" s="1007">
        <f t="shared" si="63"/>
        <v>482609284.83999997</v>
      </c>
      <c r="M401" s="1007">
        <f t="shared" si="64"/>
        <v>0</v>
      </c>
      <c r="N401" s="1007">
        <f t="shared" si="65"/>
        <v>482609284.83999997</v>
      </c>
      <c r="O401" s="1007">
        <f t="shared" si="66"/>
        <v>0</v>
      </c>
      <c r="P401" s="1007">
        <f t="shared" si="67"/>
        <v>0</v>
      </c>
      <c r="Q401" s="1207"/>
      <c r="R401" s="445"/>
      <c r="S401" s="445"/>
      <c r="T401" s="991">
        <f t="shared" si="57"/>
        <v>2</v>
      </c>
      <c r="U401" s="1008"/>
    </row>
    <row r="402" spans="1:21" ht="15.75">
      <c r="A402" s="473">
        <v>391</v>
      </c>
      <c r="B402" s="819" t="s">
        <v>1500</v>
      </c>
      <c r="C402" s="465" t="s">
        <v>1561</v>
      </c>
      <c r="D402" s="470">
        <v>2</v>
      </c>
      <c r="E402" s="819" t="s">
        <v>1314</v>
      </c>
      <c r="F402" s="473"/>
      <c r="G402" s="470"/>
      <c r="H402" s="470">
        <v>2</v>
      </c>
      <c r="I402" s="470"/>
      <c r="J402" s="470"/>
      <c r="K402" s="488">
        <v>70327880.079999998</v>
      </c>
      <c r="L402" s="1007">
        <f t="shared" si="63"/>
        <v>140655760.16</v>
      </c>
      <c r="M402" s="1007">
        <f t="shared" si="64"/>
        <v>0</v>
      </c>
      <c r="N402" s="1007">
        <f t="shared" si="65"/>
        <v>140655760.16</v>
      </c>
      <c r="O402" s="1007">
        <f t="shared" si="66"/>
        <v>0</v>
      </c>
      <c r="P402" s="1007">
        <f t="shared" si="67"/>
        <v>0</v>
      </c>
      <c r="Q402" s="1207"/>
      <c r="R402" s="445"/>
      <c r="S402" s="445"/>
      <c r="T402" s="991">
        <f t="shared" si="57"/>
        <v>2</v>
      </c>
      <c r="U402" s="1008"/>
    </row>
    <row r="403" spans="1:21" ht="15.75">
      <c r="A403" s="473">
        <v>392</v>
      </c>
      <c r="B403" s="819" t="s">
        <v>1562</v>
      </c>
      <c r="C403" s="465" t="s">
        <v>1563</v>
      </c>
      <c r="D403" s="470">
        <v>16</v>
      </c>
      <c r="E403" s="819" t="s">
        <v>1314</v>
      </c>
      <c r="F403" s="473"/>
      <c r="G403" s="470"/>
      <c r="H403" s="470">
        <v>16</v>
      </c>
      <c r="I403" s="470"/>
      <c r="J403" s="470"/>
      <c r="K403" s="488">
        <v>5374357.5300000003</v>
      </c>
      <c r="L403" s="1007">
        <f t="shared" si="63"/>
        <v>85989720.480000004</v>
      </c>
      <c r="M403" s="1007">
        <f t="shared" si="64"/>
        <v>0</v>
      </c>
      <c r="N403" s="1007">
        <f t="shared" si="65"/>
        <v>85989720.480000004</v>
      </c>
      <c r="O403" s="1007">
        <f t="shared" si="66"/>
        <v>0</v>
      </c>
      <c r="P403" s="1007">
        <f t="shared" si="67"/>
        <v>0</v>
      </c>
      <c r="Q403" s="1207"/>
      <c r="R403" s="445"/>
      <c r="S403" s="445"/>
      <c r="T403" s="991">
        <f t="shared" si="57"/>
        <v>16</v>
      </c>
      <c r="U403" s="1008"/>
    </row>
    <row r="404" spans="1:21" ht="15.75">
      <c r="A404" s="473">
        <v>393</v>
      </c>
      <c r="B404" s="819" t="s">
        <v>1523</v>
      </c>
      <c r="C404" s="465" t="s">
        <v>1564</v>
      </c>
      <c r="D404" s="470">
        <v>2</v>
      </c>
      <c r="E404" s="819" t="s">
        <v>1314</v>
      </c>
      <c r="F404" s="473"/>
      <c r="G404" s="470"/>
      <c r="H404" s="470">
        <v>2</v>
      </c>
      <c r="I404" s="470"/>
      <c r="J404" s="470"/>
      <c r="K404" s="488">
        <v>26671251.93</v>
      </c>
      <c r="L404" s="1007">
        <f t="shared" si="63"/>
        <v>53342503.859999999</v>
      </c>
      <c r="M404" s="1007">
        <f t="shared" si="64"/>
        <v>0</v>
      </c>
      <c r="N404" s="1007">
        <f t="shared" si="65"/>
        <v>53342503.859999999</v>
      </c>
      <c r="O404" s="1007">
        <f t="shared" si="66"/>
        <v>0</v>
      </c>
      <c r="P404" s="1007">
        <f t="shared" si="67"/>
        <v>0</v>
      </c>
      <c r="Q404" s="1207"/>
      <c r="R404" s="445"/>
      <c r="S404" s="445"/>
      <c r="T404" s="991">
        <f t="shared" si="57"/>
        <v>2</v>
      </c>
      <c r="U404" s="1008"/>
    </row>
    <row r="405" spans="1:21">
      <c r="A405" s="473">
        <v>394</v>
      </c>
      <c r="B405" s="491" t="s">
        <v>1499</v>
      </c>
      <c r="C405" s="493" t="s">
        <v>2008</v>
      </c>
      <c r="D405" s="470">
        <v>2</v>
      </c>
      <c r="E405" s="819" t="s">
        <v>1314</v>
      </c>
      <c r="F405" s="819"/>
      <c r="G405" s="470"/>
      <c r="H405" s="470">
        <v>1</v>
      </c>
      <c r="I405" s="470">
        <v>1</v>
      </c>
      <c r="J405" s="470"/>
      <c r="K405" s="691"/>
      <c r="L405" s="1007">
        <f t="shared" si="63"/>
        <v>0</v>
      </c>
      <c r="M405" s="1007">
        <f t="shared" si="64"/>
        <v>0</v>
      </c>
      <c r="N405" s="1007">
        <f t="shared" si="65"/>
        <v>0</v>
      </c>
      <c r="O405" s="1007">
        <f t="shared" si="66"/>
        <v>0</v>
      </c>
      <c r="P405" s="1007">
        <f t="shared" si="67"/>
        <v>0</v>
      </c>
      <c r="Q405" s="1207"/>
      <c r="R405" s="445"/>
      <c r="S405" s="445"/>
      <c r="T405" s="991">
        <f t="shared" si="57"/>
        <v>2</v>
      </c>
      <c r="U405" s="1008"/>
    </row>
    <row r="406" spans="1:21" ht="18.75" customHeight="1">
      <c r="A406" s="1170" t="s">
        <v>1565</v>
      </c>
      <c r="B406" s="1170"/>
      <c r="C406" s="1170"/>
      <c r="D406" s="1170"/>
      <c r="E406" s="1170"/>
      <c r="F406" s="1170"/>
      <c r="G406" s="1170"/>
      <c r="H406" s="1170"/>
      <c r="I406" s="1170"/>
      <c r="J406" s="1170"/>
      <c r="K406" s="1170"/>
      <c r="L406" s="1007">
        <f>SUM(L407:L431)</f>
        <v>1049892672</v>
      </c>
      <c r="M406" s="1007">
        <f>SUM(M407:M431)</f>
        <v>0</v>
      </c>
      <c r="N406" s="1007">
        <f>SUM(N407:N431)</f>
        <v>571641491</v>
      </c>
      <c r="O406" s="1007">
        <f>SUM(O407:O431)</f>
        <v>478251181</v>
      </c>
      <c r="P406" s="1007">
        <f>SUM(P407:P431)</f>
        <v>0</v>
      </c>
      <c r="R406" s="445"/>
      <c r="S406" s="445"/>
      <c r="T406" s="991">
        <f t="shared" si="57"/>
        <v>0</v>
      </c>
      <c r="U406" s="1008"/>
    </row>
    <row r="407" spans="1:21" ht="15.75">
      <c r="A407" s="473">
        <v>395</v>
      </c>
      <c r="B407" s="819" t="s">
        <v>1566</v>
      </c>
      <c r="C407" s="465" t="s">
        <v>1567</v>
      </c>
      <c r="D407" s="470">
        <v>240</v>
      </c>
      <c r="E407" s="819" t="s">
        <v>1314</v>
      </c>
      <c r="F407" s="473"/>
      <c r="G407" s="470"/>
      <c r="H407" s="470">
        <v>120</v>
      </c>
      <c r="I407" s="470">
        <v>120</v>
      </c>
      <c r="J407" s="470"/>
      <c r="K407" s="488">
        <v>252648</v>
      </c>
      <c r="L407" s="1007">
        <f>K407*D407</f>
        <v>60635520</v>
      </c>
      <c r="M407" s="1007">
        <f>K407*G407</f>
        <v>0</v>
      </c>
      <c r="N407" s="1007">
        <f>K407*H407</f>
        <v>30317760</v>
      </c>
      <c r="O407" s="1007">
        <f>K407*I407</f>
        <v>30317760</v>
      </c>
      <c r="P407" s="1007">
        <f>K407*J407</f>
        <v>0</v>
      </c>
      <c r="Q407" s="1206" t="s">
        <v>4235</v>
      </c>
      <c r="R407" s="445"/>
      <c r="S407" s="445"/>
      <c r="T407" s="991">
        <f t="shared" si="57"/>
        <v>240</v>
      </c>
      <c r="U407" s="1008"/>
    </row>
    <row r="408" spans="1:21" ht="15.75">
      <c r="A408" s="473">
        <v>396</v>
      </c>
      <c r="B408" s="819" t="s">
        <v>1568</v>
      </c>
      <c r="C408" s="465" t="s">
        <v>1569</v>
      </c>
      <c r="D408" s="470">
        <v>240</v>
      </c>
      <c r="E408" s="819" t="s">
        <v>1314</v>
      </c>
      <c r="F408" s="473"/>
      <c r="G408" s="470"/>
      <c r="H408" s="470">
        <v>120</v>
      </c>
      <c r="I408" s="470">
        <v>120</v>
      </c>
      <c r="J408" s="470"/>
      <c r="K408" s="488">
        <v>355000</v>
      </c>
      <c r="L408" s="1007">
        <f t="shared" ref="L408:L431" si="68">K408*D408</f>
        <v>85200000</v>
      </c>
      <c r="M408" s="1007">
        <f t="shared" ref="M408:M431" si="69">K408*G408</f>
        <v>0</v>
      </c>
      <c r="N408" s="1007">
        <f t="shared" ref="N408:N431" si="70">K408*H408</f>
        <v>42600000</v>
      </c>
      <c r="O408" s="1007">
        <f t="shared" ref="O408:O431" si="71">K408*I408</f>
        <v>42600000</v>
      </c>
      <c r="P408" s="1007">
        <f t="shared" ref="P408:P431" si="72">K408*J408</f>
        <v>0</v>
      </c>
      <c r="Q408" s="1207"/>
      <c r="R408" s="445"/>
      <c r="S408" s="445"/>
      <c r="T408" s="991">
        <f t="shared" si="57"/>
        <v>240</v>
      </c>
      <c r="U408" s="1008"/>
    </row>
    <row r="409" spans="1:21" ht="15.75">
      <c r="A409" s="473">
        <v>397</v>
      </c>
      <c r="B409" s="819" t="s">
        <v>1568</v>
      </c>
      <c r="C409" s="465" t="s">
        <v>1570</v>
      </c>
      <c r="D409" s="470">
        <v>240</v>
      </c>
      <c r="E409" s="819" t="s">
        <v>1314</v>
      </c>
      <c r="F409" s="473"/>
      <c r="G409" s="470"/>
      <c r="H409" s="470">
        <v>120</v>
      </c>
      <c r="I409" s="470">
        <v>120</v>
      </c>
      <c r="J409" s="470"/>
      <c r="K409" s="488">
        <v>280945</v>
      </c>
      <c r="L409" s="1007">
        <f t="shared" si="68"/>
        <v>67426800</v>
      </c>
      <c r="M409" s="1007">
        <f t="shared" si="69"/>
        <v>0</v>
      </c>
      <c r="N409" s="1007">
        <f t="shared" si="70"/>
        <v>33713400</v>
      </c>
      <c r="O409" s="1007">
        <f t="shared" si="71"/>
        <v>33713400</v>
      </c>
      <c r="P409" s="1007">
        <f t="shared" si="72"/>
        <v>0</v>
      </c>
      <c r="Q409" s="1207"/>
      <c r="R409" s="445"/>
      <c r="S409" s="445"/>
      <c r="T409" s="991">
        <f t="shared" si="57"/>
        <v>240</v>
      </c>
      <c r="U409" s="1008"/>
    </row>
    <row r="410" spans="1:21" ht="15.75">
      <c r="A410" s="473">
        <v>398</v>
      </c>
      <c r="B410" s="819" t="s">
        <v>1571</v>
      </c>
      <c r="C410" s="465" t="s">
        <v>1572</v>
      </c>
      <c r="D410" s="470">
        <v>120</v>
      </c>
      <c r="E410" s="819" t="s">
        <v>1314</v>
      </c>
      <c r="F410" s="819" t="s">
        <v>2009</v>
      </c>
      <c r="G410" s="470"/>
      <c r="H410" s="470">
        <v>60</v>
      </c>
      <c r="I410" s="470">
        <v>60</v>
      </c>
      <c r="J410" s="470"/>
      <c r="K410" s="488">
        <v>760821</v>
      </c>
      <c r="L410" s="1007">
        <f t="shared" si="68"/>
        <v>91298520</v>
      </c>
      <c r="M410" s="1007">
        <f t="shared" si="69"/>
        <v>0</v>
      </c>
      <c r="N410" s="1007">
        <f t="shared" si="70"/>
        <v>45649260</v>
      </c>
      <c r="O410" s="1007">
        <f t="shared" si="71"/>
        <v>45649260</v>
      </c>
      <c r="P410" s="1007">
        <f t="shared" si="72"/>
        <v>0</v>
      </c>
      <c r="Q410" s="1207"/>
      <c r="R410" s="445"/>
      <c r="S410" s="445"/>
      <c r="T410" s="991">
        <f t="shared" si="57"/>
        <v>120</v>
      </c>
      <c r="U410" s="1008"/>
    </row>
    <row r="411" spans="1:21" ht="15.75">
      <c r="A411" s="473">
        <v>399</v>
      </c>
      <c r="B411" s="819" t="s">
        <v>1571</v>
      </c>
      <c r="C411" s="465" t="s">
        <v>1573</v>
      </c>
      <c r="D411" s="470">
        <v>120</v>
      </c>
      <c r="E411" s="819" t="s">
        <v>1314</v>
      </c>
      <c r="F411" s="819"/>
      <c r="G411" s="470"/>
      <c r="H411" s="470">
        <v>60</v>
      </c>
      <c r="I411" s="470">
        <v>60</v>
      </c>
      <c r="J411" s="470"/>
      <c r="K411" s="488">
        <v>1280473</v>
      </c>
      <c r="L411" s="1007">
        <f t="shared" si="68"/>
        <v>153656760</v>
      </c>
      <c r="M411" s="1007">
        <f t="shared" si="69"/>
        <v>0</v>
      </c>
      <c r="N411" s="1007">
        <f t="shared" si="70"/>
        <v>76828380</v>
      </c>
      <c r="O411" s="1007">
        <f t="shared" si="71"/>
        <v>76828380</v>
      </c>
      <c r="P411" s="1007">
        <f t="shared" si="72"/>
        <v>0</v>
      </c>
      <c r="Q411" s="1207"/>
      <c r="R411" s="445"/>
      <c r="S411" s="445"/>
      <c r="T411" s="991">
        <f t="shared" si="57"/>
        <v>120</v>
      </c>
      <c r="U411" s="1008"/>
    </row>
    <row r="412" spans="1:21" ht="15.75">
      <c r="A412" s="473">
        <v>400</v>
      </c>
      <c r="B412" s="819" t="s">
        <v>1571</v>
      </c>
      <c r="C412" s="465" t="s">
        <v>1574</v>
      </c>
      <c r="D412" s="470">
        <v>60</v>
      </c>
      <c r="E412" s="819" t="s">
        <v>1314</v>
      </c>
      <c r="F412" s="819" t="s">
        <v>1543</v>
      </c>
      <c r="G412" s="470"/>
      <c r="H412" s="470">
        <v>30</v>
      </c>
      <c r="I412" s="470">
        <v>30</v>
      </c>
      <c r="J412" s="470"/>
      <c r="K412" s="488">
        <v>667048</v>
      </c>
      <c r="L412" s="1007">
        <f t="shared" si="68"/>
        <v>40022880</v>
      </c>
      <c r="M412" s="1007">
        <f t="shared" si="69"/>
        <v>0</v>
      </c>
      <c r="N412" s="1007">
        <f t="shared" si="70"/>
        <v>20011440</v>
      </c>
      <c r="O412" s="1007">
        <f t="shared" si="71"/>
        <v>20011440</v>
      </c>
      <c r="P412" s="1007">
        <f t="shared" si="72"/>
        <v>0</v>
      </c>
      <c r="Q412" s="1207"/>
      <c r="R412" s="445"/>
      <c r="S412" s="445"/>
      <c r="T412" s="991">
        <f t="shared" si="57"/>
        <v>60</v>
      </c>
      <c r="U412" s="1008"/>
    </row>
    <row r="413" spans="1:21" ht="15.75">
      <c r="A413" s="473">
        <v>401</v>
      </c>
      <c r="B413" s="819" t="s">
        <v>1571</v>
      </c>
      <c r="C413" s="465" t="s">
        <v>1575</v>
      </c>
      <c r="D413" s="470">
        <v>60</v>
      </c>
      <c r="E413" s="819" t="s">
        <v>1314</v>
      </c>
      <c r="F413" s="819"/>
      <c r="G413" s="470"/>
      <c r="H413" s="470">
        <v>30</v>
      </c>
      <c r="I413" s="470">
        <v>30</v>
      </c>
      <c r="J413" s="470"/>
      <c r="K413" s="488">
        <v>520317</v>
      </c>
      <c r="L413" s="1007">
        <f t="shared" si="68"/>
        <v>31219020</v>
      </c>
      <c r="M413" s="1007">
        <f t="shared" si="69"/>
        <v>0</v>
      </c>
      <c r="N413" s="1007">
        <f t="shared" si="70"/>
        <v>15609510</v>
      </c>
      <c r="O413" s="1007">
        <f t="shared" si="71"/>
        <v>15609510</v>
      </c>
      <c r="P413" s="1007">
        <f t="shared" si="72"/>
        <v>0</v>
      </c>
      <c r="Q413" s="1207"/>
      <c r="R413" s="445"/>
      <c r="S413" s="445"/>
      <c r="T413" s="991">
        <f t="shared" si="57"/>
        <v>60</v>
      </c>
      <c r="U413" s="1008"/>
    </row>
    <row r="414" spans="1:21" ht="15.75">
      <c r="A414" s="473">
        <v>402</v>
      </c>
      <c r="B414" s="819" t="s">
        <v>1576</v>
      </c>
      <c r="C414" s="465">
        <v>3974823</v>
      </c>
      <c r="D414" s="470">
        <v>5</v>
      </c>
      <c r="E414" s="819" t="s">
        <v>1314</v>
      </c>
      <c r="F414" s="473"/>
      <c r="G414" s="470"/>
      <c r="H414" s="470">
        <v>3</v>
      </c>
      <c r="I414" s="470">
        <v>2</v>
      </c>
      <c r="J414" s="470"/>
      <c r="K414" s="488">
        <v>674435</v>
      </c>
      <c r="L414" s="1007">
        <f t="shared" si="68"/>
        <v>3372175</v>
      </c>
      <c r="M414" s="1007">
        <f t="shared" si="69"/>
        <v>0</v>
      </c>
      <c r="N414" s="1007">
        <f t="shared" si="70"/>
        <v>2023305</v>
      </c>
      <c r="O414" s="1007">
        <f t="shared" si="71"/>
        <v>1348870</v>
      </c>
      <c r="P414" s="1007">
        <f t="shared" si="72"/>
        <v>0</v>
      </c>
      <c r="Q414" s="1207"/>
      <c r="R414" s="445"/>
      <c r="S414" s="445"/>
      <c r="T414" s="991">
        <f t="shared" si="57"/>
        <v>5</v>
      </c>
      <c r="U414" s="1008"/>
    </row>
    <row r="415" spans="1:21" ht="15.75">
      <c r="A415" s="473">
        <v>403</v>
      </c>
      <c r="B415" s="819" t="s">
        <v>1577</v>
      </c>
      <c r="C415" s="468" t="s">
        <v>1578</v>
      </c>
      <c r="D415" s="470">
        <v>2</v>
      </c>
      <c r="E415" s="819" t="s">
        <v>1314</v>
      </c>
      <c r="F415" s="473"/>
      <c r="G415" s="470"/>
      <c r="H415" s="470">
        <v>1</v>
      </c>
      <c r="I415" s="470">
        <v>1</v>
      </c>
      <c r="J415" s="470"/>
      <c r="K415" s="488">
        <v>8170000</v>
      </c>
      <c r="L415" s="1007">
        <f t="shared" si="68"/>
        <v>16340000</v>
      </c>
      <c r="M415" s="1007">
        <f t="shared" si="69"/>
        <v>0</v>
      </c>
      <c r="N415" s="1007">
        <f t="shared" si="70"/>
        <v>8170000</v>
      </c>
      <c r="O415" s="1007">
        <f t="shared" si="71"/>
        <v>8170000</v>
      </c>
      <c r="P415" s="1007">
        <f t="shared" si="72"/>
        <v>0</v>
      </c>
      <c r="Q415" s="1207"/>
      <c r="R415" s="445"/>
      <c r="S415" s="445"/>
      <c r="T415" s="991">
        <f t="shared" si="57"/>
        <v>2</v>
      </c>
      <c r="U415" s="1008"/>
    </row>
    <row r="416" spans="1:21" ht="15.75">
      <c r="A416" s="473">
        <v>404</v>
      </c>
      <c r="B416" s="819" t="s">
        <v>1579</v>
      </c>
      <c r="C416" s="465">
        <v>3910739</v>
      </c>
      <c r="D416" s="470">
        <v>2</v>
      </c>
      <c r="E416" s="819" t="s">
        <v>1314</v>
      </c>
      <c r="F416" s="473"/>
      <c r="G416" s="470"/>
      <c r="H416" s="470">
        <v>2</v>
      </c>
      <c r="I416" s="470"/>
      <c r="J416" s="470"/>
      <c r="K416" s="488">
        <v>3157007</v>
      </c>
      <c r="L416" s="1007">
        <f t="shared" si="68"/>
        <v>6314014</v>
      </c>
      <c r="M416" s="1007">
        <f t="shared" si="69"/>
        <v>0</v>
      </c>
      <c r="N416" s="1007">
        <f t="shared" si="70"/>
        <v>6314014</v>
      </c>
      <c r="O416" s="1007">
        <f t="shared" si="71"/>
        <v>0</v>
      </c>
      <c r="P416" s="1007">
        <f t="shared" si="72"/>
        <v>0</v>
      </c>
      <c r="Q416" s="1207"/>
      <c r="R416" s="445"/>
      <c r="S416" s="445"/>
      <c r="T416" s="991">
        <f t="shared" si="57"/>
        <v>2</v>
      </c>
      <c r="U416" s="1008"/>
    </row>
    <row r="417" spans="1:21" ht="15.75">
      <c r="A417" s="473">
        <v>405</v>
      </c>
      <c r="B417" s="491" t="s">
        <v>2010</v>
      </c>
      <c r="C417" s="493">
        <v>4988594</v>
      </c>
      <c r="D417" s="470">
        <v>1</v>
      </c>
      <c r="E417" s="819" t="s">
        <v>1314</v>
      </c>
      <c r="F417" s="473"/>
      <c r="G417" s="470"/>
      <c r="H417" s="470">
        <v>1</v>
      </c>
      <c r="I417" s="470"/>
      <c r="J417" s="470"/>
      <c r="K417" s="488"/>
      <c r="L417" s="1007">
        <f t="shared" si="68"/>
        <v>0</v>
      </c>
      <c r="M417" s="1007">
        <f t="shared" si="69"/>
        <v>0</v>
      </c>
      <c r="N417" s="1007">
        <f t="shared" si="70"/>
        <v>0</v>
      </c>
      <c r="O417" s="1007">
        <f t="shared" si="71"/>
        <v>0</v>
      </c>
      <c r="P417" s="1007">
        <f t="shared" si="72"/>
        <v>0</v>
      </c>
      <c r="Q417" s="1207"/>
      <c r="R417" s="445"/>
      <c r="S417" s="445"/>
      <c r="T417" s="991">
        <f t="shared" si="57"/>
        <v>1</v>
      </c>
      <c r="U417" s="1008"/>
    </row>
    <row r="418" spans="1:21" ht="15.75">
      <c r="A418" s="473">
        <v>406</v>
      </c>
      <c r="B418" s="819" t="s">
        <v>1580</v>
      </c>
      <c r="C418" s="465">
        <v>3975818</v>
      </c>
      <c r="D418" s="470">
        <v>2</v>
      </c>
      <c r="E418" s="819" t="s">
        <v>1314</v>
      </c>
      <c r="F418" s="473"/>
      <c r="G418" s="470"/>
      <c r="H418" s="470">
        <v>1</v>
      </c>
      <c r="I418" s="470">
        <v>1</v>
      </c>
      <c r="J418" s="470"/>
      <c r="K418" s="488">
        <v>4701731</v>
      </c>
      <c r="L418" s="1007">
        <f t="shared" si="68"/>
        <v>9403462</v>
      </c>
      <c r="M418" s="1007">
        <f t="shared" si="69"/>
        <v>0</v>
      </c>
      <c r="N418" s="1007">
        <f t="shared" si="70"/>
        <v>4701731</v>
      </c>
      <c r="O418" s="1007">
        <f t="shared" si="71"/>
        <v>4701731</v>
      </c>
      <c r="P418" s="1007">
        <f t="shared" si="72"/>
        <v>0</v>
      </c>
      <c r="Q418" s="1207"/>
      <c r="R418" s="445"/>
      <c r="S418" s="445"/>
      <c r="T418" s="991">
        <f t="shared" si="57"/>
        <v>2</v>
      </c>
      <c r="U418" s="1008"/>
    </row>
    <row r="419" spans="1:21" ht="15.75">
      <c r="A419" s="473">
        <v>407</v>
      </c>
      <c r="B419" s="819" t="s">
        <v>1581</v>
      </c>
      <c r="C419" s="465">
        <v>2830559</v>
      </c>
      <c r="D419" s="470">
        <v>6</v>
      </c>
      <c r="E419" s="819" t="s">
        <v>1314</v>
      </c>
      <c r="F419" s="473"/>
      <c r="G419" s="470"/>
      <c r="H419" s="470">
        <v>3</v>
      </c>
      <c r="I419" s="470">
        <v>3</v>
      </c>
      <c r="J419" s="470"/>
      <c r="K419" s="488">
        <v>277728</v>
      </c>
      <c r="L419" s="1007">
        <f t="shared" si="68"/>
        <v>1666368</v>
      </c>
      <c r="M419" s="1007">
        <f t="shared" si="69"/>
        <v>0</v>
      </c>
      <c r="N419" s="1007">
        <f t="shared" si="70"/>
        <v>833184</v>
      </c>
      <c r="O419" s="1007">
        <f t="shared" si="71"/>
        <v>833184</v>
      </c>
      <c r="P419" s="1007">
        <f t="shared" si="72"/>
        <v>0</v>
      </c>
      <c r="Q419" s="1207"/>
      <c r="R419" s="445"/>
      <c r="S419" s="445"/>
      <c r="T419" s="991">
        <f t="shared" ref="T419:T482" si="73">G419+H419+I419+J419-S419</f>
        <v>6</v>
      </c>
      <c r="U419" s="1008"/>
    </row>
    <row r="420" spans="1:21" ht="15.75">
      <c r="A420" s="473">
        <v>408</v>
      </c>
      <c r="B420" s="819" t="s">
        <v>1582</v>
      </c>
      <c r="C420" s="465">
        <v>3974127</v>
      </c>
      <c r="D420" s="470">
        <v>6</v>
      </c>
      <c r="E420" s="819" t="s">
        <v>1314</v>
      </c>
      <c r="F420" s="473"/>
      <c r="G420" s="470"/>
      <c r="H420" s="470">
        <v>3</v>
      </c>
      <c r="I420" s="470">
        <v>3</v>
      </c>
      <c r="J420" s="470"/>
      <c r="K420" s="488">
        <v>215160</v>
      </c>
      <c r="L420" s="1007">
        <f t="shared" si="68"/>
        <v>1290960</v>
      </c>
      <c r="M420" s="1007">
        <f t="shared" si="69"/>
        <v>0</v>
      </c>
      <c r="N420" s="1007">
        <f t="shared" si="70"/>
        <v>645480</v>
      </c>
      <c r="O420" s="1007">
        <f t="shared" si="71"/>
        <v>645480</v>
      </c>
      <c r="P420" s="1007">
        <f t="shared" si="72"/>
        <v>0</v>
      </c>
      <c r="Q420" s="1207"/>
      <c r="R420" s="445"/>
      <c r="S420" s="445"/>
      <c r="T420" s="991">
        <f t="shared" si="73"/>
        <v>6</v>
      </c>
      <c r="U420" s="1008"/>
    </row>
    <row r="421" spans="1:21" ht="15.75">
      <c r="A421" s="473">
        <v>409</v>
      </c>
      <c r="B421" s="819" t="s">
        <v>1583</v>
      </c>
      <c r="C421" s="465">
        <v>4921776</v>
      </c>
      <c r="D421" s="470">
        <v>1</v>
      </c>
      <c r="E421" s="819" t="s">
        <v>1314</v>
      </c>
      <c r="F421" s="473"/>
      <c r="G421" s="470"/>
      <c r="H421" s="470">
        <v>1</v>
      </c>
      <c r="I421" s="470"/>
      <c r="J421" s="470"/>
      <c r="K421" s="488">
        <v>66835775</v>
      </c>
      <c r="L421" s="1007">
        <f t="shared" si="68"/>
        <v>66835775</v>
      </c>
      <c r="M421" s="1007">
        <f t="shared" si="69"/>
        <v>0</v>
      </c>
      <c r="N421" s="1007">
        <f t="shared" si="70"/>
        <v>66835775</v>
      </c>
      <c r="O421" s="1007">
        <f t="shared" si="71"/>
        <v>0</v>
      </c>
      <c r="P421" s="1007">
        <f t="shared" si="72"/>
        <v>0</v>
      </c>
      <c r="Q421" s="1207"/>
      <c r="R421" s="445"/>
      <c r="S421" s="445"/>
      <c r="T421" s="991">
        <f t="shared" si="73"/>
        <v>1</v>
      </c>
      <c r="U421" s="1008"/>
    </row>
    <row r="422" spans="1:21" ht="15.75">
      <c r="A422" s="473">
        <v>410</v>
      </c>
      <c r="B422" s="819" t="s">
        <v>2011</v>
      </c>
      <c r="C422" s="465">
        <v>4932210</v>
      </c>
      <c r="D422" s="470">
        <v>1</v>
      </c>
      <c r="E422" s="819" t="s">
        <v>1314</v>
      </c>
      <c r="F422" s="473"/>
      <c r="G422" s="470"/>
      <c r="H422" s="470">
        <v>1</v>
      </c>
      <c r="I422" s="470"/>
      <c r="J422" s="470"/>
      <c r="K422" s="488">
        <v>315160</v>
      </c>
      <c r="L422" s="1007">
        <f t="shared" si="68"/>
        <v>315160</v>
      </c>
      <c r="M422" s="1007">
        <f t="shared" si="69"/>
        <v>0</v>
      </c>
      <c r="N422" s="1007">
        <f t="shared" si="70"/>
        <v>315160</v>
      </c>
      <c r="O422" s="1007">
        <f t="shared" si="71"/>
        <v>0</v>
      </c>
      <c r="P422" s="1007">
        <f t="shared" si="72"/>
        <v>0</v>
      </c>
      <c r="Q422" s="1207"/>
      <c r="R422" s="445"/>
      <c r="S422" s="445"/>
      <c r="T422" s="991">
        <f t="shared" si="73"/>
        <v>1</v>
      </c>
      <c r="U422" s="1008"/>
    </row>
    <row r="423" spans="1:21" ht="15.75">
      <c r="A423" s="473">
        <v>411</v>
      </c>
      <c r="B423" s="819" t="s">
        <v>1488</v>
      </c>
      <c r="C423" s="465">
        <v>5263262</v>
      </c>
      <c r="D423" s="470">
        <v>12</v>
      </c>
      <c r="E423" s="819" t="s">
        <v>1314</v>
      </c>
      <c r="F423" s="473"/>
      <c r="G423" s="470"/>
      <c r="H423" s="470">
        <v>6</v>
      </c>
      <c r="I423" s="470">
        <v>6</v>
      </c>
      <c r="J423" s="470"/>
      <c r="K423" s="488">
        <v>19121854</v>
      </c>
      <c r="L423" s="1007">
        <f t="shared" si="68"/>
        <v>229462248</v>
      </c>
      <c r="M423" s="1007">
        <f t="shared" si="69"/>
        <v>0</v>
      </c>
      <c r="N423" s="1007">
        <f t="shared" si="70"/>
        <v>114731124</v>
      </c>
      <c r="O423" s="1007">
        <f t="shared" si="71"/>
        <v>114731124</v>
      </c>
      <c r="P423" s="1007">
        <f t="shared" si="72"/>
        <v>0</v>
      </c>
      <c r="Q423" s="1207"/>
      <c r="R423" s="445"/>
      <c r="S423" s="445"/>
      <c r="T423" s="991">
        <f t="shared" si="73"/>
        <v>12</v>
      </c>
      <c r="U423" s="1008"/>
    </row>
    <row r="424" spans="1:21" ht="15.75">
      <c r="A424" s="473">
        <v>412</v>
      </c>
      <c r="B424" s="819" t="s">
        <v>1584</v>
      </c>
      <c r="C424" s="465">
        <v>4038597</v>
      </c>
      <c r="D424" s="470">
        <v>2</v>
      </c>
      <c r="E424" s="819" t="s">
        <v>1314</v>
      </c>
      <c r="F424" s="473"/>
      <c r="G424" s="470"/>
      <c r="H424" s="470">
        <v>1</v>
      </c>
      <c r="I424" s="470">
        <v>1</v>
      </c>
      <c r="J424" s="470"/>
      <c r="K424" s="488">
        <v>49534770</v>
      </c>
      <c r="L424" s="1007">
        <f t="shared" si="68"/>
        <v>99069540</v>
      </c>
      <c r="M424" s="1007">
        <f t="shared" si="69"/>
        <v>0</v>
      </c>
      <c r="N424" s="1007">
        <f t="shared" si="70"/>
        <v>49534770</v>
      </c>
      <c r="O424" s="1007">
        <f t="shared" si="71"/>
        <v>49534770</v>
      </c>
      <c r="P424" s="1007">
        <f t="shared" si="72"/>
        <v>0</v>
      </c>
      <c r="Q424" s="1207"/>
      <c r="R424" s="445"/>
      <c r="S424" s="445"/>
      <c r="T424" s="991">
        <f t="shared" si="73"/>
        <v>2</v>
      </c>
      <c r="U424" s="1008"/>
    </row>
    <row r="425" spans="1:21" ht="15.75">
      <c r="A425" s="473">
        <v>413</v>
      </c>
      <c r="B425" s="819" t="s">
        <v>1585</v>
      </c>
      <c r="C425" s="465">
        <v>3965281</v>
      </c>
      <c r="D425" s="470">
        <v>2</v>
      </c>
      <c r="E425" s="819" t="s">
        <v>1314</v>
      </c>
      <c r="F425" s="473"/>
      <c r="G425" s="470"/>
      <c r="H425" s="470">
        <v>1</v>
      </c>
      <c r="I425" s="470">
        <v>1</v>
      </c>
      <c r="J425" s="470"/>
      <c r="K425" s="488">
        <v>11369734</v>
      </c>
      <c r="L425" s="1007">
        <f t="shared" si="68"/>
        <v>22739468</v>
      </c>
      <c r="M425" s="1007">
        <f t="shared" si="69"/>
        <v>0</v>
      </c>
      <c r="N425" s="1007">
        <f t="shared" si="70"/>
        <v>11369734</v>
      </c>
      <c r="O425" s="1007">
        <f t="shared" si="71"/>
        <v>11369734</v>
      </c>
      <c r="P425" s="1007">
        <f t="shared" si="72"/>
        <v>0</v>
      </c>
      <c r="Q425" s="1207"/>
      <c r="R425" s="445"/>
      <c r="S425" s="445"/>
      <c r="T425" s="991">
        <f t="shared" si="73"/>
        <v>2</v>
      </c>
      <c r="U425" s="1008"/>
    </row>
    <row r="426" spans="1:21" ht="15.75">
      <c r="A426" s="473">
        <v>414</v>
      </c>
      <c r="B426" s="819" t="s">
        <v>1586</v>
      </c>
      <c r="C426" s="465">
        <v>5266422</v>
      </c>
      <c r="D426" s="470">
        <v>24</v>
      </c>
      <c r="E426" s="819" t="s">
        <v>1314</v>
      </c>
      <c r="F426" s="473"/>
      <c r="G426" s="470"/>
      <c r="H426" s="470">
        <v>24</v>
      </c>
      <c r="I426" s="470"/>
      <c r="J426" s="470"/>
      <c r="K426" s="488">
        <v>123726</v>
      </c>
      <c r="L426" s="1007">
        <f t="shared" si="68"/>
        <v>2969424</v>
      </c>
      <c r="M426" s="1007">
        <f t="shared" si="69"/>
        <v>0</v>
      </c>
      <c r="N426" s="1007">
        <f t="shared" si="70"/>
        <v>2969424</v>
      </c>
      <c r="O426" s="1007">
        <f t="shared" si="71"/>
        <v>0</v>
      </c>
      <c r="P426" s="1007">
        <f t="shared" si="72"/>
        <v>0</v>
      </c>
      <c r="Q426" s="1207"/>
      <c r="R426" s="445"/>
      <c r="S426" s="445"/>
      <c r="T426" s="991">
        <f t="shared" si="73"/>
        <v>24</v>
      </c>
      <c r="U426" s="1008"/>
    </row>
    <row r="427" spans="1:21" ht="15.75">
      <c r="A427" s="473">
        <v>415</v>
      </c>
      <c r="B427" s="819" t="s">
        <v>1587</v>
      </c>
      <c r="C427" s="465">
        <v>3289952</v>
      </c>
      <c r="D427" s="470">
        <v>20</v>
      </c>
      <c r="E427" s="819" t="s">
        <v>1314</v>
      </c>
      <c r="F427" s="473"/>
      <c r="G427" s="470"/>
      <c r="H427" s="470">
        <v>10</v>
      </c>
      <c r="I427" s="470">
        <v>10</v>
      </c>
      <c r="J427" s="470"/>
      <c r="K427" s="488">
        <v>1239075</v>
      </c>
      <c r="L427" s="1007">
        <f t="shared" si="68"/>
        <v>24781500</v>
      </c>
      <c r="M427" s="1007">
        <f t="shared" si="69"/>
        <v>0</v>
      </c>
      <c r="N427" s="1007">
        <f t="shared" si="70"/>
        <v>12390750</v>
      </c>
      <c r="O427" s="1007">
        <f t="shared" si="71"/>
        <v>12390750</v>
      </c>
      <c r="P427" s="1007">
        <f t="shared" si="72"/>
        <v>0</v>
      </c>
      <c r="Q427" s="1207"/>
      <c r="R427" s="445"/>
      <c r="S427" s="445"/>
      <c r="T427" s="991">
        <f t="shared" si="73"/>
        <v>20</v>
      </c>
      <c r="U427" s="1008"/>
    </row>
    <row r="428" spans="1:21" ht="15.75">
      <c r="A428" s="473">
        <v>416</v>
      </c>
      <c r="B428" s="819" t="s">
        <v>1588</v>
      </c>
      <c r="C428" s="465">
        <v>3976834</v>
      </c>
      <c r="D428" s="470">
        <v>2</v>
      </c>
      <c r="E428" s="819" t="s">
        <v>1314</v>
      </c>
      <c r="F428" s="473"/>
      <c r="G428" s="470"/>
      <c r="H428" s="470">
        <v>1</v>
      </c>
      <c r="I428" s="470">
        <v>1</v>
      </c>
      <c r="J428" s="470"/>
      <c r="K428" s="488">
        <v>2509424</v>
      </c>
      <c r="L428" s="1007">
        <f t="shared" si="68"/>
        <v>5018848</v>
      </c>
      <c r="M428" s="1007">
        <f t="shared" si="69"/>
        <v>0</v>
      </c>
      <c r="N428" s="1007">
        <f t="shared" si="70"/>
        <v>2509424</v>
      </c>
      <c r="O428" s="1007">
        <f t="shared" si="71"/>
        <v>2509424</v>
      </c>
      <c r="P428" s="1007">
        <f t="shared" si="72"/>
        <v>0</v>
      </c>
      <c r="Q428" s="1207"/>
      <c r="R428" s="445"/>
      <c r="S428" s="445"/>
      <c r="T428" s="991">
        <f t="shared" si="73"/>
        <v>2</v>
      </c>
      <c r="U428" s="1008"/>
    </row>
    <row r="429" spans="1:21" ht="15.75">
      <c r="A429" s="473">
        <v>417</v>
      </c>
      <c r="B429" s="819" t="s">
        <v>1589</v>
      </c>
      <c r="C429" s="465">
        <v>3800984</v>
      </c>
      <c r="D429" s="470">
        <v>4</v>
      </c>
      <c r="E429" s="819" t="s">
        <v>1314</v>
      </c>
      <c r="F429" s="473"/>
      <c r="G429" s="470"/>
      <c r="H429" s="470">
        <v>2</v>
      </c>
      <c r="I429" s="470">
        <v>2</v>
      </c>
      <c r="J429" s="470"/>
      <c r="K429" s="488">
        <v>3643182</v>
      </c>
      <c r="L429" s="1007">
        <f t="shared" si="68"/>
        <v>14572728</v>
      </c>
      <c r="M429" s="1007">
        <f t="shared" si="69"/>
        <v>0</v>
      </c>
      <c r="N429" s="1007">
        <f t="shared" si="70"/>
        <v>7286364</v>
      </c>
      <c r="O429" s="1007">
        <f t="shared" si="71"/>
        <v>7286364</v>
      </c>
      <c r="P429" s="1007">
        <f t="shared" si="72"/>
        <v>0</v>
      </c>
      <c r="Q429" s="1207"/>
      <c r="R429" s="445"/>
      <c r="S429" s="445"/>
      <c r="T429" s="991">
        <f t="shared" si="73"/>
        <v>4</v>
      </c>
      <c r="U429" s="1008"/>
    </row>
    <row r="430" spans="1:21" ht="15.75">
      <c r="A430" s="473">
        <v>418</v>
      </c>
      <c r="B430" s="819" t="s">
        <v>1590</v>
      </c>
      <c r="C430" s="465">
        <v>4955229</v>
      </c>
      <c r="D430" s="470">
        <v>1</v>
      </c>
      <c r="E430" s="819" t="s">
        <v>1314</v>
      </c>
      <c r="F430" s="473"/>
      <c r="G430" s="470"/>
      <c r="H430" s="470">
        <v>1</v>
      </c>
      <c r="I430" s="470"/>
      <c r="J430" s="470"/>
      <c r="K430" s="488">
        <v>8489710</v>
      </c>
      <c r="L430" s="1007">
        <f t="shared" si="68"/>
        <v>8489710</v>
      </c>
      <c r="M430" s="1007">
        <f t="shared" si="69"/>
        <v>0</v>
      </c>
      <c r="N430" s="1007">
        <f t="shared" si="70"/>
        <v>8489710</v>
      </c>
      <c r="O430" s="1007">
        <f t="shared" si="71"/>
        <v>0</v>
      </c>
      <c r="P430" s="1007">
        <f t="shared" si="72"/>
        <v>0</v>
      </c>
      <c r="Q430" s="1207"/>
      <c r="R430" s="445"/>
      <c r="S430" s="445"/>
      <c r="T430" s="991">
        <f t="shared" si="73"/>
        <v>1</v>
      </c>
      <c r="U430" s="1008"/>
    </row>
    <row r="431" spans="1:21" ht="15.75">
      <c r="A431" s="473">
        <v>419</v>
      </c>
      <c r="B431" s="819" t="s">
        <v>1591</v>
      </c>
      <c r="C431" s="465">
        <v>4955230</v>
      </c>
      <c r="D431" s="470">
        <v>1</v>
      </c>
      <c r="E431" s="819" t="s">
        <v>1314</v>
      </c>
      <c r="F431" s="473"/>
      <c r="G431" s="470"/>
      <c r="H431" s="470">
        <v>1</v>
      </c>
      <c r="I431" s="470"/>
      <c r="J431" s="470"/>
      <c r="K431" s="488">
        <v>7791792</v>
      </c>
      <c r="L431" s="1007">
        <f t="shared" si="68"/>
        <v>7791792</v>
      </c>
      <c r="M431" s="1007">
        <f t="shared" si="69"/>
        <v>0</v>
      </c>
      <c r="N431" s="1007">
        <f t="shared" si="70"/>
        <v>7791792</v>
      </c>
      <c r="O431" s="1007">
        <f t="shared" si="71"/>
        <v>0</v>
      </c>
      <c r="P431" s="1007">
        <f t="shared" si="72"/>
        <v>0</v>
      </c>
      <c r="Q431" s="1207"/>
      <c r="R431" s="445"/>
      <c r="S431" s="445"/>
      <c r="T431" s="991">
        <f t="shared" si="73"/>
        <v>1</v>
      </c>
      <c r="U431" s="1008"/>
    </row>
    <row r="432" spans="1:21" ht="18.75" customHeight="1">
      <c r="A432" s="1170" t="s">
        <v>1592</v>
      </c>
      <c r="B432" s="1170"/>
      <c r="C432" s="1170"/>
      <c r="D432" s="1170"/>
      <c r="E432" s="1170"/>
      <c r="F432" s="1170"/>
      <c r="G432" s="1170"/>
      <c r="H432" s="1170"/>
      <c r="I432" s="1170"/>
      <c r="J432" s="1170"/>
      <c r="K432" s="1170"/>
      <c r="L432" s="1007">
        <f>SUM(L433:L461)</f>
        <v>2334955682</v>
      </c>
      <c r="M432" s="1007"/>
      <c r="N432" s="1007">
        <f>SUM(N433:N461)</f>
        <v>1291065247</v>
      </c>
      <c r="O432" s="1007">
        <f>SUM(O433:O461)</f>
        <v>1043890435</v>
      </c>
      <c r="P432" s="1007">
        <f>SUM(P433:P461)</f>
        <v>0</v>
      </c>
      <c r="R432" s="445"/>
      <c r="S432" s="445"/>
      <c r="T432" s="991">
        <f t="shared" si="73"/>
        <v>0</v>
      </c>
      <c r="U432" s="1008"/>
    </row>
    <row r="433" spans="1:21" ht="30">
      <c r="A433" s="473">
        <v>420</v>
      </c>
      <c r="B433" s="819" t="s">
        <v>1593</v>
      </c>
      <c r="C433" s="819" t="s">
        <v>1594</v>
      </c>
      <c r="D433" s="470">
        <v>5</v>
      </c>
      <c r="E433" s="819" t="s">
        <v>1314</v>
      </c>
      <c r="F433" s="473"/>
      <c r="G433" s="470"/>
      <c r="H433" s="470">
        <v>3</v>
      </c>
      <c r="I433" s="470">
        <v>2</v>
      </c>
      <c r="J433" s="470">
        <v>0</v>
      </c>
      <c r="K433" s="488">
        <v>119979570</v>
      </c>
      <c r="L433" s="1007">
        <f>K433*D433</f>
        <v>599897850</v>
      </c>
      <c r="M433" s="1007">
        <f>K433*G433</f>
        <v>0</v>
      </c>
      <c r="N433" s="1007">
        <f>K433*H433</f>
        <v>359938710</v>
      </c>
      <c r="O433" s="1007">
        <f>K433*I433</f>
        <v>239959140</v>
      </c>
      <c r="P433" s="1007">
        <f>K433*J433</f>
        <v>0</v>
      </c>
      <c r="Q433" s="1206" t="s">
        <v>4235</v>
      </c>
      <c r="R433" s="1201" t="s">
        <v>4883</v>
      </c>
      <c r="S433" s="1005">
        <v>3</v>
      </c>
      <c r="T433" s="991">
        <f t="shared" si="73"/>
        <v>2</v>
      </c>
      <c r="U433" s="1011">
        <v>418705410</v>
      </c>
    </row>
    <row r="434" spans="1:21" ht="60">
      <c r="A434" s="473">
        <v>421</v>
      </c>
      <c r="B434" s="819" t="s">
        <v>1595</v>
      </c>
      <c r="C434" s="468">
        <v>64700136</v>
      </c>
      <c r="D434" s="470">
        <f t="shared" ref="D434:D460" si="74">H434+I434+J434</f>
        <v>5</v>
      </c>
      <c r="E434" s="819" t="s">
        <v>1596</v>
      </c>
      <c r="F434" s="473"/>
      <c r="G434" s="470"/>
      <c r="H434" s="470">
        <v>3</v>
      </c>
      <c r="I434" s="470">
        <v>2</v>
      </c>
      <c r="J434" s="470"/>
      <c r="K434" s="488">
        <v>7679822</v>
      </c>
      <c r="L434" s="1007">
        <f t="shared" ref="L434:L461" si="75">K434*D434</f>
        <v>38399110</v>
      </c>
      <c r="M434" s="1007"/>
      <c r="N434" s="1007">
        <f t="shared" ref="N434:N461" si="76">K434*H434</f>
        <v>23039466</v>
      </c>
      <c r="O434" s="1007">
        <f t="shared" ref="O434:O461" si="77">K434*I434</f>
        <v>15359644</v>
      </c>
      <c r="P434" s="1007">
        <f t="shared" ref="P434:P461" si="78">K434*J434</f>
        <v>0</v>
      </c>
      <c r="Q434" s="1207"/>
      <c r="R434" s="1202"/>
      <c r="S434" s="1005">
        <v>3</v>
      </c>
      <c r="T434" s="991">
        <f t="shared" si="73"/>
        <v>2</v>
      </c>
      <c r="U434" s="1011">
        <v>26804346</v>
      </c>
    </row>
    <row r="435" spans="1:21" ht="15.75">
      <c r="A435" s="473">
        <v>422</v>
      </c>
      <c r="B435" s="819" t="s">
        <v>1597</v>
      </c>
      <c r="C435" s="819">
        <v>64700104</v>
      </c>
      <c r="D435" s="470">
        <f t="shared" si="74"/>
        <v>60</v>
      </c>
      <c r="E435" s="819" t="s">
        <v>1314</v>
      </c>
      <c r="F435" s="473"/>
      <c r="G435" s="470"/>
      <c r="H435" s="470">
        <v>30</v>
      </c>
      <c r="I435" s="470">
        <v>30</v>
      </c>
      <c r="J435" s="470"/>
      <c r="K435" s="488">
        <v>959921</v>
      </c>
      <c r="L435" s="1007">
        <f t="shared" si="75"/>
        <v>57595260</v>
      </c>
      <c r="M435" s="1007"/>
      <c r="N435" s="1007">
        <f t="shared" si="76"/>
        <v>28797630</v>
      </c>
      <c r="O435" s="1007">
        <f t="shared" si="77"/>
        <v>28797630</v>
      </c>
      <c r="P435" s="1007">
        <f t="shared" si="78"/>
        <v>0</v>
      </c>
      <c r="Q435" s="1207"/>
      <c r="R435" s="1202"/>
      <c r="S435" s="1005">
        <v>30</v>
      </c>
      <c r="T435" s="991">
        <f t="shared" si="73"/>
        <v>30</v>
      </c>
      <c r="U435" s="1011">
        <v>33492210</v>
      </c>
    </row>
    <row r="436" spans="1:21" ht="15.75">
      <c r="A436" s="473">
        <v>423</v>
      </c>
      <c r="B436" s="819" t="s">
        <v>1598</v>
      </c>
      <c r="C436" s="819">
        <v>64700106</v>
      </c>
      <c r="D436" s="470">
        <f t="shared" si="74"/>
        <v>60</v>
      </c>
      <c r="E436" s="819" t="s">
        <v>1314</v>
      </c>
      <c r="F436" s="473"/>
      <c r="G436" s="470"/>
      <c r="H436" s="470">
        <v>30</v>
      </c>
      <c r="I436" s="470">
        <v>30</v>
      </c>
      <c r="J436" s="470"/>
      <c r="K436" s="488">
        <v>383846</v>
      </c>
      <c r="L436" s="1007">
        <f t="shared" si="75"/>
        <v>23030760</v>
      </c>
      <c r="M436" s="1007"/>
      <c r="N436" s="1007">
        <f t="shared" si="76"/>
        <v>11515380</v>
      </c>
      <c r="O436" s="1007">
        <f t="shared" si="77"/>
        <v>11515380</v>
      </c>
      <c r="P436" s="1007">
        <f t="shared" si="78"/>
        <v>0</v>
      </c>
      <c r="Q436" s="1207"/>
      <c r="R436" s="1202"/>
      <c r="S436" s="1005">
        <v>30</v>
      </c>
      <c r="T436" s="991">
        <f t="shared" si="73"/>
        <v>30</v>
      </c>
      <c r="U436" s="1011">
        <v>13393380</v>
      </c>
    </row>
    <row r="437" spans="1:21" ht="15.75">
      <c r="A437" s="473">
        <v>424</v>
      </c>
      <c r="B437" s="476" t="s">
        <v>1599</v>
      </c>
      <c r="C437" s="468">
        <v>64700107</v>
      </c>
      <c r="D437" s="470">
        <f t="shared" si="74"/>
        <v>1000</v>
      </c>
      <c r="E437" s="819" t="s">
        <v>1314</v>
      </c>
      <c r="F437" s="473"/>
      <c r="G437" s="470"/>
      <c r="H437" s="470">
        <v>500</v>
      </c>
      <c r="I437" s="470">
        <v>500</v>
      </c>
      <c r="J437" s="470"/>
      <c r="K437" s="488">
        <v>287885</v>
      </c>
      <c r="L437" s="1007">
        <f t="shared" si="75"/>
        <v>287885000</v>
      </c>
      <c r="M437" s="1007"/>
      <c r="N437" s="1007">
        <f t="shared" si="76"/>
        <v>143942500</v>
      </c>
      <c r="O437" s="1007">
        <f t="shared" si="77"/>
        <v>143942500</v>
      </c>
      <c r="P437" s="1007">
        <f t="shared" si="78"/>
        <v>0</v>
      </c>
      <c r="Q437" s="1207"/>
      <c r="R437" s="1202"/>
      <c r="S437" s="1005">
        <v>500</v>
      </c>
      <c r="T437" s="991">
        <f t="shared" si="73"/>
        <v>500</v>
      </c>
      <c r="U437" s="1011">
        <v>167479000</v>
      </c>
    </row>
    <row r="438" spans="1:21" ht="15.75">
      <c r="A438" s="473">
        <v>425</v>
      </c>
      <c r="B438" s="819" t="s">
        <v>1340</v>
      </c>
      <c r="C438" s="819">
        <v>64700108</v>
      </c>
      <c r="D438" s="470">
        <f t="shared" si="74"/>
        <v>120</v>
      </c>
      <c r="E438" s="819" t="s">
        <v>1314</v>
      </c>
      <c r="F438" s="473"/>
      <c r="G438" s="470"/>
      <c r="H438" s="470">
        <v>60</v>
      </c>
      <c r="I438" s="470">
        <v>60</v>
      </c>
      <c r="J438" s="470"/>
      <c r="K438" s="488">
        <v>1799661</v>
      </c>
      <c r="L438" s="1007">
        <f t="shared" si="75"/>
        <v>215959320</v>
      </c>
      <c r="M438" s="1007"/>
      <c r="N438" s="1007">
        <f t="shared" si="76"/>
        <v>107979660</v>
      </c>
      <c r="O438" s="1007">
        <f t="shared" si="77"/>
        <v>107979660</v>
      </c>
      <c r="P438" s="1007">
        <f t="shared" si="78"/>
        <v>0</v>
      </c>
      <c r="Q438" s="1207"/>
      <c r="R438" s="1202"/>
      <c r="S438" s="1005">
        <v>60</v>
      </c>
      <c r="T438" s="991">
        <f t="shared" si="73"/>
        <v>60</v>
      </c>
      <c r="U438" s="1011">
        <v>125604600</v>
      </c>
    </row>
    <row r="439" spans="1:21" ht="15.75">
      <c r="A439" s="473">
        <v>426</v>
      </c>
      <c r="B439" s="819" t="s">
        <v>1600</v>
      </c>
      <c r="C439" s="468">
        <v>63400188</v>
      </c>
      <c r="D439" s="470">
        <f t="shared" si="74"/>
        <v>600</v>
      </c>
      <c r="E439" s="819" t="s">
        <v>1314</v>
      </c>
      <c r="F439" s="473"/>
      <c r="G439" s="470"/>
      <c r="H439" s="470">
        <v>300</v>
      </c>
      <c r="I439" s="470">
        <v>300</v>
      </c>
      <c r="J439" s="470"/>
      <c r="K439" s="488">
        <v>34120</v>
      </c>
      <c r="L439" s="1007">
        <f t="shared" si="75"/>
        <v>20472000</v>
      </c>
      <c r="M439" s="1007"/>
      <c r="N439" s="1007">
        <f t="shared" si="76"/>
        <v>10236000</v>
      </c>
      <c r="O439" s="1007">
        <f t="shared" si="77"/>
        <v>10236000</v>
      </c>
      <c r="P439" s="1007">
        <f t="shared" si="78"/>
        <v>0</v>
      </c>
      <c r="Q439" s="1207"/>
      <c r="R439" s="1202"/>
      <c r="S439" s="1005">
        <v>300</v>
      </c>
      <c r="T439" s="991">
        <f t="shared" si="73"/>
        <v>300</v>
      </c>
      <c r="U439" s="1011">
        <v>11886600</v>
      </c>
    </row>
    <row r="440" spans="1:21" ht="15.75">
      <c r="A440" s="473">
        <v>427</v>
      </c>
      <c r="B440" s="819" t="s">
        <v>1601</v>
      </c>
      <c r="C440" s="468">
        <v>63400189</v>
      </c>
      <c r="D440" s="470">
        <f t="shared" si="74"/>
        <v>600</v>
      </c>
      <c r="E440" s="819" t="s">
        <v>1314</v>
      </c>
      <c r="F440" s="473"/>
      <c r="G440" s="470"/>
      <c r="H440" s="470">
        <v>300</v>
      </c>
      <c r="I440" s="470">
        <v>300</v>
      </c>
      <c r="J440" s="470"/>
      <c r="K440" s="488">
        <v>34120</v>
      </c>
      <c r="L440" s="1007">
        <f t="shared" si="75"/>
        <v>20472000</v>
      </c>
      <c r="M440" s="1007"/>
      <c r="N440" s="1007">
        <f t="shared" si="76"/>
        <v>10236000</v>
      </c>
      <c r="O440" s="1007">
        <f t="shared" si="77"/>
        <v>10236000</v>
      </c>
      <c r="P440" s="1007">
        <f t="shared" si="78"/>
        <v>0</v>
      </c>
      <c r="Q440" s="1207"/>
      <c r="R440" s="1202"/>
      <c r="S440" s="1005">
        <v>300</v>
      </c>
      <c r="T440" s="991">
        <f t="shared" si="73"/>
        <v>300</v>
      </c>
      <c r="U440" s="1011">
        <v>11886600</v>
      </c>
    </row>
    <row r="441" spans="1:21" ht="15.75">
      <c r="A441" s="473">
        <v>428</v>
      </c>
      <c r="B441" s="819" t="s">
        <v>1601</v>
      </c>
      <c r="C441" s="468">
        <v>63400190</v>
      </c>
      <c r="D441" s="470">
        <f t="shared" si="74"/>
        <v>600</v>
      </c>
      <c r="E441" s="819" t="s">
        <v>1314</v>
      </c>
      <c r="F441" s="473"/>
      <c r="G441" s="470"/>
      <c r="H441" s="470">
        <v>300</v>
      </c>
      <c r="I441" s="470">
        <v>300</v>
      </c>
      <c r="J441" s="470"/>
      <c r="K441" s="488">
        <v>28788</v>
      </c>
      <c r="L441" s="1007">
        <f t="shared" si="75"/>
        <v>17272800</v>
      </c>
      <c r="M441" s="1007"/>
      <c r="N441" s="1007">
        <f t="shared" si="76"/>
        <v>8636400</v>
      </c>
      <c r="O441" s="1007">
        <f t="shared" si="77"/>
        <v>8636400</v>
      </c>
      <c r="P441" s="1007">
        <f t="shared" si="78"/>
        <v>0</v>
      </c>
      <c r="Q441" s="1207"/>
      <c r="R441" s="1202"/>
      <c r="S441" s="1005">
        <v>300</v>
      </c>
      <c r="T441" s="991">
        <f t="shared" si="73"/>
        <v>300</v>
      </c>
      <c r="U441" s="1011">
        <v>10040700</v>
      </c>
    </row>
    <row r="442" spans="1:21" ht="15.75">
      <c r="A442" s="473">
        <v>429</v>
      </c>
      <c r="B442" s="819" t="s">
        <v>1358</v>
      </c>
      <c r="C442" s="468">
        <v>63400195</v>
      </c>
      <c r="D442" s="470">
        <f t="shared" si="74"/>
        <v>600</v>
      </c>
      <c r="E442" s="819" t="s">
        <v>1314</v>
      </c>
      <c r="F442" s="473"/>
      <c r="G442" s="470"/>
      <c r="H442" s="470">
        <v>300</v>
      </c>
      <c r="I442" s="470">
        <v>300</v>
      </c>
      <c r="J442" s="470"/>
      <c r="K442" s="488">
        <v>185983</v>
      </c>
      <c r="L442" s="1007">
        <f t="shared" si="75"/>
        <v>111589800</v>
      </c>
      <c r="M442" s="1007"/>
      <c r="N442" s="1007">
        <f t="shared" si="76"/>
        <v>55794900</v>
      </c>
      <c r="O442" s="1007">
        <f t="shared" si="77"/>
        <v>55794900</v>
      </c>
      <c r="P442" s="1007">
        <f t="shared" si="78"/>
        <v>0</v>
      </c>
      <c r="Q442" s="1207"/>
      <c r="R442" s="1202"/>
      <c r="S442" s="1005">
        <v>300</v>
      </c>
      <c r="T442" s="991">
        <f t="shared" si="73"/>
        <v>300</v>
      </c>
      <c r="U442" s="1011">
        <v>64893600</v>
      </c>
    </row>
    <row r="443" spans="1:21" ht="15.75">
      <c r="A443" s="473">
        <v>430</v>
      </c>
      <c r="B443" s="476" t="s">
        <v>1602</v>
      </c>
      <c r="C443" s="468">
        <v>80100120</v>
      </c>
      <c r="D443" s="470">
        <f t="shared" si="74"/>
        <v>30</v>
      </c>
      <c r="E443" s="819" t="s">
        <v>1314</v>
      </c>
      <c r="F443" s="473"/>
      <c r="G443" s="470"/>
      <c r="H443" s="470">
        <v>30</v>
      </c>
      <c r="I443" s="470"/>
      <c r="J443" s="470"/>
      <c r="K443" s="488">
        <v>359932</v>
      </c>
      <c r="L443" s="1007">
        <f t="shared" si="75"/>
        <v>10797960</v>
      </c>
      <c r="M443" s="1007"/>
      <c r="N443" s="1007">
        <f t="shared" si="76"/>
        <v>10797960</v>
      </c>
      <c r="O443" s="1007">
        <f t="shared" si="77"/>
        <v>0</v>
      </c>
      <c r="P443" s="1007">
        <f t="shared" si="78"/>
        <v>0</v>
      </c>
      <c r="Q443" s="1207"/>
      <c r="R443" s="1202"/>
      <c r="S443" s="1005">
        <v>30</v>
      </c>
      <c r="T443" s="991">
        <f t="shared" si="73"/>
        <v>0</v>
      </c>
      <c r="U443" s="1011">
        <v>12564000</v>
      </c>
    </row>
    <row r="444" spans="1:21" ht="15.75">
      <c r="A444" s="473">
        <v>431</v>
      </c>
      <c r="B444" s="476" t="s">
        <v>1602</v>
      </c>
      <c r="C444" s="468">
        <v>80100119</v>
      </c>
      <c r="D444" s="470">
        <f t="shared" si="74"/>
        <v>30</v>
      </c>
      <c r="E444" s="819" t="s">
        <v>1314</v>
      </c>
      <c r="F444" s="473"/>
      <c r="G444" s="470"/>
      <c r="H444" s="470">
        <v>30</v>
      </c>
      <c r="I444" s="470"/>
      <c r="J444" s="470"/>
      <c r="K444" s="488">
        <v>59862</v>
      </c>
      <c r="L444" s="1007">
        <f t="shared" si="75"/>
        <v>1795860</v>
      </c>
      <c r="M444" s="1007"/>
      <c r="N444" s="1007">
        <f t="shared" si="76"/>
        <v>1795860</v>
      </c>
      <c r="O444" s="1007">
        <f t="shared" si="77"/>
        <v>0</v>
      </c>
      <c r="P444" s="1007">
        <f t="shared" si="78"/>
        <v>0</v>
      </c>
      <c r="Q444" s="1207"/>
      <c r="R444" s="1202"/>
      <c r="S444" s="1005">
        <v>30</v>
      </c>
      <c r="T444" s="991">
        <f t="shared" si="73"/>
        <v>0</v>
      </c>
      <c r="U444" s="1011">
        <v>2091060</v>
      </c>
    </row>
    <row r="445" spans="1:21" ht="15.75">
      <c r="A445" s="473">
        <v>432</v>
      </c>
      <c r="B445" s="819" t="s">
        <v>1603</v>
      </c>
      <c r="C445" s="819">
        <v>64700103</v>
      </c>
      <c r="D445" s="470">
        <f t="shared" si="74"/>
        <v>1000</v>
      </c>
      <c r="E445" s="819" t="s">
        <v>1314</v>
      </c>
      <c r="F445" s="473"/>
      <c r="G445" s="470"/>
      <c r="H445" s="470">
        <v>500</v>
      </c>
      <c r="I445" s="470">
        <v>500</v>
      </c>
      <c r="J445" s="470"/>
      <c r="K445" s="488">
        <v>371965</v>
      </c>
      <c r="L445" s="1007">
        <f t="shared" si="75"/>
        <v>371965000</v>
      </c>
      <c r="M445" s="1007"/>
      <c r="N445" s="1007">
        <f t="shared" si="76"/>
        <v>185982500</v>
      </c>
      <c r="O445" s="1007">
        <f t="shared" si="77"/>
        <v>185982500</v>
      </c>
      <c r="P445" s="1007">
        <f t="shared" si="78"/>
        <v>0</v>
      </c>
      <c r="Q445" s="1207"/>
      <c r="R445" s="1202"/>
      <c r="S445" s="1005">
        <v>500</v>
      </c>
      <c r="T445" s="991">
        <f t="shared" si="73"/>
        <v>500</v>
      </c>
      <c r="U445" s="1011">
        <v>216329000</v>
      </c>
    </row>
    <row r="446" spans="1:21" ht="15.75">
      <c r="A446" s="473">
        <v>433</v>
      </c>
      <c r="B446" s="476" t="s">
        <v>1604</v>
      </c>
      <c r="C446" s="468">
        <v>64700122</v>
      </c>
      <c r="D446" s="470">
        <f t="shared" si="74"/>
        <v>30</v>
      </c>
      <c r="E446" s="819" t="s">
        <v>1314</v>
      </c>
      <c r="F446" s="473"/>
      <c r="G446" s="470"/>
      <c r="H446" s="470">
        <v>30</v>
      </c>
      <c r="I446" s="470"/>
      <c r="J446" s="470"/>
      <c r="K446" s="488">
        <v>473868</v>
      </c>
      <c r="L446" s="1007">
        <f t="shared" si="75"/>
        <v>14216040</v>
      </c>
      <c r="M446" s="1007"/>
      <c r="N446" s="1007">
        <f t="shared" si="76"/>
        <v>14216040</v>
      </c>
      <c r="O446" s="1007">
        <f t="shared" si="77"/>
        <v>0</v>
      </c>
      <c r="P446" s="1007">
        <f t="shared" si="78"/>
        <v>0</v>
      </c>
      <c r="Q446" s="1207"/>
      <c r="R446" s="1202"/>
      <c r="S446" s="1005">
        <v>30</v>
      </c>
      <c r="T446" s="991">
        <f t="shared" si="73"/>
        <v>0</v>
      </c>
      <c r="U446" s="1011">
        <v>16538760</v>
      </c>
    </row>
    <row r="447" spans="1:21" ht="15.75">
      <c r="A447" s="473">
        <v>434</v>
      </c>
      <c r="B447" s="476" t="s">
        <v>1605</v>
      </c>
      <c r="C447" s="468">
        <v>64700123</v>
      </c>
      <c r="D447" s="470">
        <f t="shared" si="74"/>
        <v>9</v>
      </c>
      <c r="E447" s="819" t="s">
        <v>1314</v>
      </c>
      <c r="F447" s="473"/>
      <c r="G447" s="470"/>
      <c r="H447" s="470">
        <v>9</v>
      </c>
      <c r="I447" s="470"/>
      <c r="J447" s="470"/>
      <c r="K447" s="488">
        <v>2518676</v>
      </c>
      <c r="L447" s="1007">
        <f t="shared" si="75"/>
        <v>22668084</v>
      </c>
      <c r="M447" s="1007"/>
      <c r="N447" s="1007">
        <f t="shared" si="76"/>
        <v>22668084</v>
      </c>
      <c r="O447" s="1007">
        <f t="shared" si="77"/>
        <v>0</v>
      </c>
      <c r="P447" s="1007">
        <f t="shared" si="78"/>
        <v>0</v>
      </c>
      <c r="Q447" s="1207"/>
      <c r="R447" s="1202"/>
      <c r="S447" s="1005">
        <v>9</v>
      </c>
      <c r="T447" s="991">
        <f t="shared" si="73"/>
        <v>0</v>
      </c>
      <c r="U447" s="1011">
        <v>26372025</v>
      </c>
    </row>
    <row r="448" spans="1:21" ht="15.75">
      <c r="A448" s="743">
        <v>435</v>
      </c>
      <c r="B448" s="744" t="s">
        <v>1606</v>
      </c>
      <c r="C448" s="745">
        <v>64700124</v>
      </c>
      <c r="D448" s="746">
        <f t="shared" si="74"/>
        <v>120</v>
      </c>
      <c r="E448" s="747" t="s">
        <v>1314</v>
      </c>
      <c r="F448" s="743"/>
      <c r="G448" s="470"/>
      <c r="H448" s="470">
        <v>60</v>
      </c>
      <c r="I448" s="470">
        <v>60</v>
      </c>
      <c r="J448" s="470"/>
      <c r="K448" s="488">
        <v>1157784</v>
      </c>
      <c r="L448" s="1007">
        <f t="shared" si="75"/>
        <v>138934080</v>
      </c>
      <c r="M448" s="1007"/>
      <c r="N448" s="1007">
        <f t="shared" si="76"/>
        <v>69467040</v>
      </c>
      <c r="O448" s="1007">
        <f t="shared" si="77"/>
        <v>69467040</v>
      </c>
      <c r="P448" s="1007">
        <f t="shared" si="78"/>
        <v>0</v>
      </c>
      <c r="Q448" s="1207"/>
      <c r="R448" s="1202"/>
      <c r="S448" s="1005">
        <v>60</v>
      </c>
      <c r="T448" s="991">
        <f t="shared" si="73"/>
        <v>60</v>
      </c>
      <c r="U448" s="1011">
        <v>80810100</v>
      </c>
    </row>
    <row r="449" spans="1:21" ht="15.75">
      <c r="A449" s="743">
        <v>436</v>
      </c>
      <c r="B449" s="744" t="s">
        <v>1607</v>
      </c>
      <c r="C449" s="745">
        <v>64700125</v>
      </c>
      <c r="D449" s="746">
        <f t="shared" si="74"/>
        <v>5</v>
      </c>
      <c r="E449" s="747" t="s">
        <v>1314</v>
      </c>
      <c r="F449" s="743"/>
      <c r="G449" s="470"/>
      <c r="H449" s="470">
        <v>3</v>
      </c>
      <c r="I449" s="470">
        <v>2</v>
      </c>
      <c r="J449" s="470"/>
      <c r="K449" s="488">
        <v>21358463</v>
      </c>
      <c r="L449" s="1007">
        <f t="shared" si="75"/>
        <v>106792315</v>
      </c>
      <c r="M449" s="1007"/>
      <c r="N449" s="1007">
        <f t="shared" si="76"/>
        <v>64075389</v>
      </c>
      <c r="O449" s="1007">
        <f t="shared" si="77"/>
        <v>42716926</v>
      </c>
      <c r="P449" s="1007">
        <f t="shared" si="78"/>
        <v>0</v>
      </c>
      <c r="Q449" s="1207"/>
      <c r="R449" s="1202"/>
      <c r="S449" s="1005">
        <v>3</v>
      </c>
      <c r="T449" s="991">
        <f t="shared" si="73"/>
        <v>2</v>
      </c>
      <c r="U449" s="1011">
        <v>74536902</v>
      </c>
    </row>
    <row r="450" spans="1:21" ht="15.75">
      <c r="A450" s="473">
        <v>437</v>
      </c>
      <c r="B450" s="468" t="s">
        <v>932</v>
      </c>
      <c r="C450" s="468">
        <v>64700110</v>
      </c>
      <c r="D450" s="470">
        <f t="shared" si="74"/>
        <v>36</v>
      </c>
      <c r="E450" s="819" t="s">
        <v>1314</v>
      </c>
      <c r="F450" s="473"/>
      <c r="G450" s="470"/>
      <c r="H450" s="470">
        <v>18</v>
      </c>
      <c r="I450" s="470">
        <v>18</v>
      </c>
      <c r="J450" s="470"/>
      <c r="K450" s="488">
        <v>1679633</v>
      </c>
      <c r="L450" s="1007">
        <f t="shared" si="75"/>
        <v>60466788</v>
      </c>
      <c r="M450" s="1007"/>
      <c r="N450" s="1007">
        <f t="shared" si="76"/>
        <v>30233394</v>
      </c>
      <c r="O450" s="1007">
        <f t="shared" si="77"/>
        <v>30233394</v>
      </c>
      <c r="P450" s="1007">
        <f t="shared" si="78"/>
        <v>0</v>
      </c>
      <c r="Q450" s="1207"/>
      <c r="R450" s="1202"/>
      <c r="S450" s="1005">
        <v>18</v>
      </c>
      <c r="T450" s="991">
        <f t="shared" si="73"/>
        <v>18</v>
      </c>
      <c r="U450" s="1011">
        <v>35168580</v>
      </c>
    </row>
    <row r="451" spans="1:21" ht="15.75">
      <c r="A451" s="473">
        <v>438</v>
      </c>
      <c r="B451" s="468" t="s">
        <v>1608</v>
      </c>
      <c r="C451" s="468">
        <v>64700114</v>
      </c>
      <c r="D451" s="470">
        <f t="shared" si="74"/>
        <v>18</v>
      </c>
      <c r="E451" s="819" t="s">
        <v>1314</v>
      </c>
      <c r="F451" s="473"/>
      <c r="G451" s="470"/>
      <c r="H451" s="470">
        <v>9</v>
      </c>
      <c r="I451" s="470">
        <v>9</v>
      </c>
      <c r="J451" s="470"/>
      <c r="K451" s="488">
        <v>239599</v>
      </c>
      <c r="L451" s="1007">
        <f t="shared" si="75"/>
        <v>4312782</v>
      </c>
      <c r="M451" s="1007"/>
      <c r="N451" s="1007">
        <f t="shared" si="76"/>
        <v>2156391</v>
      </c>
      <c r="O451" s="1007">
        <f t="shared" si="77"/>
        <v>2156391</v>
      </c>
      <c r="P451" s="1007">
        <f t="shared" si="78"/>
        <v>0</v>
      </c>
      <c r="Q451" s="1207"/>
      <c r="R451" s="1202"/>
      <c r="S451" s="1005">
        <v>9</v>
      </c>
      <c r="T451" s="991">
        <f t="shared" si="73"/>
        <v>9</v>
      </c>
      <c r="U451" s="1011">
        <v>2505744</v>
      </c>
    </row>
    <row r="452" spans="1:21" ht="15.75">
      <c r="A452" s="473">
        <v>439</v>
      </c>
      <c r="B452" s="468" t="s">
        <v>1609</v>
      </c>
      <c r="C452" s="468">
        <v>64700130</v>
      </c>
      <c r="D452" s="470">
        <f t="shared" si="74"/>
        <v>18</v>
      </c>
      <c r="E452" s="819" t="s">
        <v>1314</v>
      </c>
      <c r="F452" s="473"/>
      <c r="G452" s="470"/>
      <c r="H452" s="470">
        <v>9</v>
      </c>
      <c r="I452" s="470">
        <v>9</v>
      </c>
      <c r="J452" s="470"/>
      <c r="K452" s="488">
        <v>328707</v>
      </c>
      <c r="L452" s="1007">
        <f t="shared" si="75"/>
        <v>5916726</v>
      </c>
      <c r="M452" s="1007"/>
      <c r="N452" s="1007">
        <f t="shared" si="76"/>
        <v>2958363</v>
      </c>
      <c r="O452" s="1007">
        <f t="shared" si="77"/>
        <v>2958363</v>
      </c>
      <c r="P452" s="1007">
        <f t="shared" si="78"/>
        <v>0</v>
      </c>
      <c r="Q452" s="1207"/>
      <c r="R452" s="1202"/>
      <c r="S452" s="1005">
        <v>9</v>
      </c>
      <c r="T452" s="991">
        <f t="shared" si="73"/>
        <v>9</v>
      </c>
      <c r="U452" s="1011">
        <v>3436218</v>
      </c>
    </row>
    <row r="453" spans="1:21" ht="15.75">
      <c r="A453" s="473">
        <v>440</v>
      </c>
      <c r="B453" s="819" t="s">
        <v>1610</v>
      </c>
      <c r="C453" s="819">
        <v>80649005</v>
      </c>
      <c r="D453" s="470">
        <f t="shared" si="74"/>
        <v>180</v>
      </c>
      <c r="E453" s="819" t="s">
        <v>1314</v>
      </c>
      <c r="F453" s="473"/>
      <c r="G453" s="470"/>
      <c r="H453" s="470">
        <v>90</v>
      </c>
      <c r="I453" s="470">
        <v>90</v>
      </c>
      <c r="J453" s="470"/>
      <c r="K453" s="488">
        <v>85147</v>
      </c>
      <c r="L453" s="1007">
        <f t="shared" si="75"/>
        <v>15326460</v>
      </c>
      <c r="M453" s="1007"/>
      <c r="N453" s="1007">
        <f t="shared" si="76"/>
        <v>7663230</v>
      </c>
      <c r="O453" s="1007">
        <f t="shared" si="77"/>
        <v>7663230</v>
      </c>
      <c r="P453" s="1007">
        <f t="shared" si="78"/>
        <v>0</v>
      </c>
      <c r="Q453" s="1207"/>
      <c r="R453" s="1202"/>
      <c r="S453" s="1005">
        <v>90</v>
      </c>
      <c r="T453" s="991">
        <f t="shared" si="73"/>
        <v>90</v>
      </c>
      <c r="U453" s="1011">
        <v>8910450</v>
      </c>
    </row>
    <row r="454" spans="1:21" ht="15.75">
      <c r="A454" s="473">
        <v>441</v>
      </c>
      <c r="B454" s="476" t="s">
        <v>1611</v>
      </c>
      <c r="C454" s="468">
        <v>64700105</v>
      </c>
      <c r="D454" s="470">
        <f t="shared" si="74"/>
        <v>60</v>
      </c>
      <c r="E454" s="819" t="s">
        <v>1314</v>
      </c>
      <c r="F454" s="473"/>
      <c r="G454" s="470"/>
      <c r="H454" s="470">
        <v>30</v>
      </c>
      <c r="I454" s="470">
        <v>30</v>
      </c>
      <c r="J454" s="470"/>
      <c r="K454" s="488">
        <v>34120</v>
      </c>
      <c r="L454" s="1007">
        <f t="shared" si="75"/>
        <v>2047200</v>
      </c>
      <c r="M454" s="1007"/>
      <c r="N454" s="1007">
        <f t="shared" si="76"/>
        <v>1023600</v>
      </c>
      <c r="O454" s="1007">
        <f t="shared" si="77"/>
        <v>1023600</v>
      </c>
      <c r="P454" s="1007">
        <f t="shared" si="78"/>
        <v>0</v>
      </c>
      <c r="Q454" s="1207"/>
      <c r="R454" s="1202"/>
      <c r="S454" s="1005">
        <v>30</v>
      </c>
      <c r="T454" s="991">
        <f t="shared" si="73"/>
        <v>30</v>
      </c>
      <c r="U454" s="1011">
        <v>1183350</v>
      </c>
    </row>
    <row r="455" spans="1:21" ht="15.75">
      <c r="A455" s="473">
        <v>442</v>
      </c>
      <c r="B455" s="819" t="s">
        <v>1347</v>
      </c>
      <c r="C455" s="468">
        <v>64700126</v>
      </c>
      <c r="D455" s="470">
        <f t="shared" si="74"/>
        <v>3</v>
      </c>
      <c r="E455" s="819" t="s">
        <v>1314</v>
      </c>
      <c r="F455" s="473"/>
      <c r="G455" s="470"/>
      <c r="H455" s="470">
        <v>3</v>
      </c>
      <c r="I455" s="470"/>
      <c r="J455" s="470"/>
      <c r="K455" s="488">
        <v>9861044</v>
      </c>
      <c r="L455" s="1007">
        <f t="shared" si="75"/>
        <v>29583132</v>
      </c>
      <c r="M455" s="1007"/>
      <c r="N455" s="1007">
        <f t="shared" si="76"/>
        <v>29583132</v>
      </c>
      <c r="O455" s="1007">
        <f t="shared" si="77"/>
        <v>0</v>
      </c>
      <c r="P455" s="1007">
        <f t="shared" si="78"/>
        <v>0</v>
      </c>
      <c r="Q455" s="1207"/>
      <c r="R455" s="1202"/>
      <c r="S455" s="1005">
        <v>3</v>
      </c>
      <c r="T455" s="991">
        <f t="shared" si="73"/>
        <v>0</v>
      </c>
      <c r="U455" s="1011">
        <v>34415088</v>
      </c>
    </row>
    <row r="456" spans="1:21" ht="15.75">
      <c r="A456" s="473">
        <v>443</v>
      </c>
      <c r="B456" s="819" t="s">
        <v>927</v>
      </c>
      <c r="C456" s="819">
        <v>63200113</v>
      </c>
      <c r="D456" s="470">
        <f t="shared" si="74"/>
        <v>36</v>
      </c>
      <c r="E456" s="819" t="s">
        <v>1314</v>
      </c>
      <c r="F456" s="473"/>
      <c r="G456" s="470"/>
      <c r="H456" s="470">
        <v>18</v>
      </c>
      <c r="I456" s="470">
        <v>18</v>
      </c>
      <c r="J456" s="470"/>
      <c r="K456" s="488">
        <v>1559757</v>
      </c>
      <c r="L456" s="1007">
        <f t="shared" si="75"/>
        <v>56151252</v>
      </c>
      <c r="M456" s="1007"/>
      <c r="N456" s="1007">
        <f t="shared" si="76"/>
        <v>28075626</v>
      </c>
      <c r="O456" s="1007">
        <f t="shared" si="77"/>
        <v>28075626</v>
      </c>
      <c r="P456" s="1007">
        <f t="shared" si="78"/>
        <v>0</v>
      </c>
      <c r="Q456" s="1207"/>
      <c r="R456" s="1202"/>
      <c r="S456" s="1005">
        <v>18</v>
      </c>
      <c r="T456" s="991">
        <f t="shared" si="73"/>
        <v>18</v>
      </c>
      <c r="U456" s="1011">
        <v>32662836</v>
      </c>
    </row>
    <row r="457" spans="1:21" ht="15.75">
      <c r="A457" s="473">
        <v>444</v>
      </c>
      <c r="B457" s="468" t="s">
        <v>927</v>
      </c>
      <c r="C457" s="468" t="s">
        <v>1612</v>
      </c>
      <c r="D457" s="470">
        <f t="shared" si="74"/>
        <v>36</v>
      </c>
      <c r="E457" s="819" t="s">
        <v>1314</v>
      </c>
      <c r="F457" s="473"/>
      <c r="G457" s="470"/>
      <c r="H457" s="470">
        <v>18</v>
      </c>
      <c r="I457" s="470">
        <v>18</v>
      </c>
      <c r="J457" s="470"/>
      <c r="K457" s="488">
        <v>1650540</v>
      </c>
      <c r="L457" s="1007">
        <f t="shared" si="75"/>
        <v>59419440</v>
      </c>
      <c r="M457" s="1007"/>
      <c r="N457" s="1007">
        <f t="shared" si="76"/>
        <v>29709720</v>
      </c>
      <c r="O457" s="1007">
        <f t="shared" si="77"/>
        <v>29709720</v>
      </c>
      <c r="P457" s="1007">
        <f t="shared" si="78"/>
        <v>0</v>
      </c>
      <c r="Q457" s="1207"/>
      <c r="R457" s="1202"/>
      <c r="S457" s="1005">
        <v>18</v>
      </c>
      <c r="T457" s="991">
        <f t="shared" si="73"/>
        <v>18</v>
      </c>
      <c r="U457" s="1011">
        <v>34555662</v>
      </c>
    </row>
    <row r="458" spans="1:21" ht="15.75">
      <c r="A458" s="473">
        <v>445</v>
      </c>
      <c r="B458" s="819" t="s">
        <v>973</v>
      </c>
      <c r="C458" s="465">
        <v>63400191</v>
      </c>
      <c r="D458" s="470">
        <f t="shared" si="74"/>
        <v>30</v>
      </c>
      <c r="E458" s="819" t="s">
        <v>1314</v>
      </c>
      <c r="F458" s="473"/>
      <c r="G458" s="470"/>
      <c r="H458" s="470">
        <v>30</v>
      </c>
      <c r="I458" s="470"/>
      <c r="J458" s="470"/>
      <c r="K458" s="488">
        <v>71895</v>
      </c>
      <c r="L458" s="1007">
        <f t="shared" si="75"/>
        <v>2156850</v>
      </c>
      <c r="M458" s="1007"/>
      <c r="N458" s="1007">
        <f t="shared" si="76"/>
        <v>2156850</v>
      </c>
      <c r="O458" s="1007">
        <f t="shared" si="77"/>
        <v>0</v>
      </c>
      <c r="P458" s="1007">
        <f t="shared" si="78"/>
        <v>0</v>
      </c>
      <c r="Q458" s="1207"/>
      <c r="R458" s="1202"/>
      <c r="S458" s="1005">
        <v>30</v>
      </c>
      <c r="T458" s="991">
        <f t="shared" si="73"/>
        <v>0</v>
      </c>
      <c r="U458" s="1011">
        <v>4182120</v>
      </c>
    </row>
    <row r="459" spans="1:21" ht="15.75">
      <c r="A459" s="473">
        <v>446</v>
      </c>
      <c r="B459" s="819" t="s">
        <v>973</v>
      </c>
      <c r="C459" s="465">
        <v>63400192</v>
      </c>
      <c r="D459" s="470">
        <f t="shared" si="74"/>
        <v>30</v>
      </c>
      <c r="E459" s="819" t="s">
        <v>1314</v>
      </c>
      <c r="F459" s="473"/>
      <c r="G459" s="470"/>
      <c r="H459" s="470">
        <v>30</v>
      </c>
      <c r="I459" s="470"/>
      <c r="J459" s="470"/>
      <c r="K459" s="488">
        <v>90630</v>
      </c>
      <c r="L459" s="1007">
        <f t="shared" si="75"/>
        <v>2718900</v>
      </c>
      <c r="M459" s="1007"/>
      <c r="N459" s="1007">
        <f t="shared" si="76"/>
        <v>2718900</v>
      </c>
      <c r="O459" s="1007">
        <f t="shared" si="77"/>
        <v>0</v>
      </c>
      <c r="P459" s="1007">
        <f t="shared" si="78"/>
        <v>0</v>
      </c>
      <c r="Q459" s="1207"/>
      <c r="R459" s="1202"/>
      <c r="S459" s="1005">
        <v>30</v>
      </c>
      <c r="T459" s="991">
        <f t="shared" si="73"/>
        <v>0</v>
      </c>
      <c r="U459" s="1011">
        <v>3221310</v>
      </c>
    </row>
    <row r="460" spans="1:21" ht="15.75">
      <c r="A460" s="473">
        <v>447</v>
      </c>
      <c r="B460" s="819" t="s">
        <v>1613</v>
      </c>
      <c r="C460" s="465">
        <v>63400196</v>
      </c>
      <c r="D460" s="470">
        <f t="shared" si="74"/>
        <v>30</v>
      </c>
      <c r="E460" s="819" t="s">
        <v>1314</v>
      </c>
      <c r="F460" s="473"/>
      <c r="G460" s="470"/>
      <c r="H460" s="470">
        <v>30</v>
      </c>
      <c r="I460" s="470"/>
      <c r="J460" s="470"/>
      <c r="K460" s="488">
        <v>92458</v>
      </c>
      <c r="L460" s="1007">
        <f t="shared" si="75"/>
        <v>2773740</v>
      </c>
      <c r="M460" s="1007"/>
      <c r="N460" s="1007">
        <f t="shared" si="76"/>
        <v>2773740</v>
      </c>
      <c r="O460" s="1007">
        <f t="shared" si="77"/>
        <v>0</v>
      </c>
      <c r="P460" s="1007">
        <f t="shared" si="78"/>
        <v>0</v>
      </c>
      <c r="Q460" s="1207"/>
      <c r="R460" s="1202"/>
      <c r="S460" s="1005">
        <v>30</v>
      </c>
      <c r="T460" s="991">
        <f t="shared" si="73"/>
        <v>0</v>
      </c>
      <c r="U460" s="1011">
        <v>3221310</v>
      </c>
    </row>
    <row r="461" spans="1:21" ht="37.5">
      <c r="A461" s="473">
        <v>448</v>
      </c>
      <c r="B461" s="695" t="s">
        <v>1614</v>
      </c>
      <c r="C461" s="696">
        <v>64700101</v>
      </c>
      <c r="D461" s="470">
        <v>3</v>
      </c>
      <c r="E461" s="695" t="s">
        <v>1314</v>
      </c>
      <c r="F461" s="697"/>
      <c r="G461" s="471"/>
      <c r="H461" s="471">
        <v>2</v>
      </c>
      <c r="I461" s="471">
        <v>1</v>
      </c>
      <c r="J461" s="471"/>
      <c r="K461" s="488">
        <v>11446391</v>
      </c>
      <c r="L461" s="1007">
        <f t="shared" si="75"/>
        <v>34339173</v>
      </c>
      <c r="M461" s="1007"/>
      <c r="N461" s="1007">
        <f t="shared" si="76"/>
        <v>22892782</v>
      </c>
      <c r="O461" s="1007">
        <f t="shared" si="77"/>
        <v>11446391</v>
      </c>
      <c r="P461" s="1007">
        <f t="shared" si="78"/>
        <v>0</v>
      </c>
      <c r="Q461" s="1207"/>
      <c r="R461" s="1203"/>
      <c r="S461" s="1005">
        <v>2</v>
      </c>
      <c r="T461" s="991">
        <f t="shared" si="73"/>
        <v>1</v>
      </c>
      <c r="U461" s="1011">
        <v>26634942</v>
      </c>
    </row>
    <row r="462" spans="1:21" ht="18.75" customHeight="1">
      <c r="A462" s="1170" t="s">
        <v>1615</v>
      </c>
      <c r="B462" s="1170"/>
      <c r="C462" s="1170"/>
      <c r="D462" s="1170"/>
      <c r="E462" s="1170"/>
      <c r="F462" s="1170"/>
      <c r="G462" s="1170"/>
      <c r="H462" s="1170"/>
      <c r="I462" s="1170"/>
      <c r="J462" s="1170"/>
      <c r="K462" s="1170"/>
      <c r="L462" s="1007">
        <f>SUM(L463:L527)</f>
        <v>12195375482.969999</v>
      </c>
      <c r="M462" s="1007">
        <f>SUM(M463:M527)</f>
        <v>0</v>
      </c>
      <c r="N462" s="1007">
        <f>SUM(N463:N527)</f>
        <v>8280880260.6500006</v>
      </c>
      <c r="O462" s="1007">
        <f>SUM(O463:O527)</f>
        <v>3898415222.3200002</v>
      </c>
      <c r="P462" s="1007">
        <f>SUM(P463:P527)</f>
        <v>16080000</v>
      </c>
      <c r="R462" s="445"/>
      <c r="S462" s="445"/>
      <c r="T462" s="991"/>
      <c r="U462" s="1008"/>
    </row>
    <row r="463" spans="1:21" ht="15.75">
      <c r="A463" s="469">
        <v>449</v>
      </c>
      <c r="B463" s="478" t="s">
        <v>1616</v>
      </c>
      <c r="C463" s="698" t="s">
        <v>1617</v>
      </c>
      <c r="D463" s="470">
        <v>2</v>
      </c>
      <c r="E463" s="467"/>
      <c r="F463" s="472"/>
      <c r="G463" s="470"/>
      <c r="H463" s="470">
        <v>2</v>
      </c>
      <c r="I463" s="470"/>
      <c r="J463" s="470"/>
      <c r="K463" s="694">
        <v>4810000</v>
      </c>
      <c r="L463" s="1007">
        <f>K463*D463</f>
        <v>9620000</v>
      </c>
      <c r="M463" s="1007">
        <f>K463*G463</f>
        <v>0</v>
      </c>
      <c r="N463" s="1007">
        <f>K463*H463</f>
        <v>9620000</v>
      </c>
      <c r="O463" s="1007">
        <f>K463*I463</f>
        <v>0</v>
      </c>
      <c r="P463" s="1007">
        <f>K463*J463</f>
        <v>0</v>
      </c>
      <c r="Q463" s="1206" t="s">
        <v>4235</v>
      </c>
      <c r="R463" s="445"/>
      <c r="S463" s="445"/>
      <c r="T463" s="991">
        <f t="shared" si="73"/>
        <v>2</v>
      </c>
      <c r="U463" s="1008"/>
    </row>
    <row r="464" spans="1:21" ht="15.75">
      <c r="A464" s="469">
        <v>450</v>
      </c>
      <c r="B464" s="478" t="s">
        <v>1616</v>
      </c>
      <c r="C464" s="481" t="s">
        <v>1618</v>
      </c>
      <c r="D464" s="470">
        <v>2</v>
      </c>
      <c r="E464" s="467"/>
      <c r="F464" s="472"/>
      <c r="G464" s="470"/>
      <c r="H464" s="470">
        <v>2</v>
      </c>
      <c r="I464" s="470"/>
      <c r="J464" s="470"/>
      <c r="K464" s="694">
        <v>40396000</v>
      </c>
      <c r="L464" s="1007">
        <f t="shared" ref="L464:L527" si="79">K464*D464</f>
        <v>80792000</v>
      </c>
      <c r="M464" s="1007">
        <f t="shared" ref="M464:M527" si="80">K464*G464</f>
        <v>0</v>
      </c>
      <c r="N464" s="1007">
        <f t="shared" ref="N464:N527" si="81">K464*H464</f>
        <v>80792000</v>
      </c>
      <c r="O464" s="1007">
        <f t="shared" ref="O464:O527" si="82">K464*I464</f>
        <v>0</v>
      </c>
      <c r="P464" s="1007">
        <f t="shared" ref="P464:P527" si="83">K464*J464</f>
        <v>0</v>
      </c>
      <c r="Q464" s="1207"/>
      <c r="R464" s="445"/>
      <c r="S464" s="445"/>
      <c r="T464" s="991">
        <f t="shared" si="73"/>
        <v>2</v>
      </c>
      <c r="U464" s="1008"/>
    </row>
    <row r="465" spans="1:21" ht="15.75">
      <c r="A465" s="469">
        <v>451</v>
      </c>
      <c r="B465" s="478" t="s">
        <v>1619</v>
      </c>
      <c r="C465" s="481" t="s">
        <v>1620</v>
      </c>
      <c r="D465" s="470">
        <v>8</v>
      </c>
      <c r="E465" s="467"/>
      <c r="F465" s="472"/>
      <c r="G465" s="470"/>
      <c r="H465" s="470">
        <v>4</v>
      </c>
      <c r="I465" s="470">
        <v>4</v>
      </c>
      <c r="J465" s="470"/>
      <c r="K465" s="694">
        <v>6356000</v>
      </c>
      <c r="L465" s="1007">
        <f t="shared" si="79"/>
        <v>50848000</v>
      </c>
      <c r="M465" s="1007">
        <f t="shared" si="80"/>
        <v>0</v>
      </c>
      <c r="N465" s="1007">
        <f t="shared" si="81"/>
        <v>25424000</v>
      </c>
      <c r="O465" s="1007">
        <f t="shared" si="82"/>
        <v>25424000</v>
      </c>
      <c r="P465" s="1007">
        <f t="shared" si="83"/>
        <v>0</v>
      </c>
      <c r="Q465" s="1207"/>
      <c r="R465" s="445"/>
      <c r="S465" s="445"/>
      <c r="T465" s="991">
        <f t="shared" si="73"/>
        <v>8</v>
      </c>
      <c r="U465" s="1008"/>
    </row>
    <row r="466" spans="1:21" ht="15.75">
      <c r="A466" s="469">
        <v>452</v>
      </c>
      <c r="B466" s="478" t="s">
        <v>1621</v>
      </c>
      <c r="C466" s="481" t="s">
        <v>1622</v>
      </c>
      <c r="D466" s="470">
        <v>8</v>
      </c>
      <c r="E466" s="467"/>
      <c r="F466" s="472"/>
      <c r="G466" s="470"/>
      <c r="H466" s="470">
        <v>4</v>
      </c>
      <c r="I466" s="470">
        <v>4</v>
      </c>
      <c r="J466" s="470"/>
      <c r="K466" s="694">
        <v>5561000</v>
      </c>
      <c r="L466" s="1007">
        <f t="shared" si="79"/>
        <v>44488000</v>
      </c>
      <c r="M466" s="1007">
        <f t="shared" si="80"/>
        <v>0</v>
      </c>
      <c r="N466" s="1007">
        <f t="shared" si="81"/>
        <v>22244000</v>
      </c>
      <c r="O466" s="1007">
        <f t="shared" si="82"/>
        <v>22244000</v>
      </c>
      <c r="P466" s="1007">
        <f t="shared" si="83"/>
        <v>0</v>
      </c>
      <c r="Q466" s="1207"/>
      <c r="R466" s="445"/>
      <c r="S466" s="445"/>
      <c r="T466" s="991">
        <f t="shared" si="73"/>
        <v>8</v>
      </c>
      <c r="U466" s="1008"/>
    </row>
    <row r="467" spans="1:21" ht="15.75">
      <c r="A467" s="469">
        <v>453</v>
      </c>
      <c r="B467" s="478" t="s">
        <v>1623</v>
      </c>
      <c r="C467" s="481" t="s">
        <v>1624</v>
      </c>
      <c r="D467" s="470">
        <v>7</v>
      </c>
      <c r="E467" s="467"/>
      <c r="F467" s="472"/>
      <c r="G467" s="470"/>
      <c r="H467" s="470">
        <v>4</v>
      </c>
      <c r="I467" s="470">
        <v>3</v>
      </c>
      <c r="J467" s="470"/>
      <c r="K467" s="694">
        <v>225234916.36000001</v>
      </c>
      <c r="L467" s="1007">
        <f t="shared" si="79"/>
        <v>1576644414.52</v>
      </c>
      <c r="M467" s="1007">
        <f t="shared" si="80"/>
        <v>0</v>
      </c>
      <c r="N467" s="1007">
        <f t="shared" si="81"/>
        <v>900939665.44000006</v>
      </c>
      <c r="O467" s="1007">
        <f t="shared" si="82"/>
        <v>675704749.08000004</v>
      </c>
      <c r="P467" s="1007">
        <f t="shared" si="83"/>
        <v>0</v>
      </c>
      <c r="Q467" s="1207"/>
      <c r="R467" s="445"/>
      <c r="S467" s="445"/>
      <c r="T467" s="991">
        <f t="shared" si="73"/>
        <v>7</v>
      </c>
      <c r="U467" s="1008"/>
    </row>
    <row r="468" spans="1:21" ht="30">
      <c r="A468" s="469">
        <v>454</v>
      </c>
      <c r="B468" s="478" t="s">
        <v>1623</v>
      </c>
      <c r="C468" s="481" t="s">
        <v>1625</v>
      </c>
      <c r="D468" s="470">
        <v>2</v>
      </c>
      <c r="E468" s="819"/>
      <c r="F468" s="472"/>
      <c r="G468" s="470"/>
      <c r="H468" s="470">
        <v>1</v>
      </c>
      <c r="I468" s="470">
        <v>1</v>
      </c>
      <c r="J468" s="470"/>
      <c r="K468" s="694">
        <v>221413966.88</v>
      </c>
      <c r="L468" s="1007">
        <f t="shared" si="79"/>
        <v>442827933.75999999</v>
      </c>
      <c r="M468" s="1007">
        <f t="shared" si="80"/>
        <v>0</v>
      </c>
      <c r="N468" s="1007">
        <f t="shared" si="81"/>
        <v>221413966.88</v>
      </c>
      <c r="O468" s="1007">
        <f t="shared" si="82"/>
        <v>221413966.88</v>
      </c>
      <c r="P468" s="1007">
        <f t="shared" si="83"/>
        <v>0</v>
      </c>
      <c r="Q468" s="1207"/>
      <c r="R468" s="445"/>
      <c r="S468" s="445"/>
      <c r="T468" s="991">
        <f t="shared" si="73"/>
        <v>2</v>
      </c>
      <c r="U468" s="1008"/>
    </row>
    <row r="469" spans="1:21" ht="15.75">
      <c r="A469" s="469">
        <v>455</v>
      </c>
      <c r="B469" s="478" t="s">
        <v>1626</v>
      </c>
      <c r="C469" s="481" t="s">
        <v>1627</v>
      </c>
      <c r="D469" s="470">
        <v>1</v>
      </c>
      <c r="E469" s="819"/>
      <c r="F469" s="472"/>
      <c r="G469" s="470"/>
      <c r="H469" s="470">
        <v>1</v>
      </c>
      <c r="I469" s="470"/>
      <c r="J469" s="470"/>
      <c r="K469" s="694">
        <v>73201347.819999993</v>
      </c>
      <c r="L469" s="1007">
        <f t="shared" si="79"/>
        <v>73201347.819999993</v>
      </c>
      <c r="M469" s="1007">
        <f t="shared" si="80"/>
        <v>0</v>
      </c>
      <c r="N469" s="1007">
        <f t="shared" si="81"/>
        <v>73201347.819999993</v>
      </c>
      <c r="O469" s="1007">
        <f t="shared" si="82"/>
        <v>0</v>
      </c>
      <c r="P469" s="1007">
        <f t="shared" si="83"/>
        <v>0</v>
      </c>
      <c r="Q469" s="1207"/>
      <c r="R469" s="445"/>
      <c r="S469" s="445"/>
      <c r="T469" s="991">
        <f t="shared" si="73"/>
        <v>1</v>
      </c>
      <c r="U469" s="1008"/>
    </row>
    <row r="470" spans="1:21" ht="15.75">
      <c r="A470" s="469">
        <v>456</v>
      </c>
      <c r="B470" s="478" t="s">
        <v>1628</v>
      </c>
      <c r="C470" s="481" t="s">
        <v>1629</v>
      </c>
      <c r="D470" s="470">
        <v>1</v>
      </c>
      <c r="E470" s="819"/>
      <c r="F470" s="472"/>
      <c r="G470" s="470"/>
      <c r="H470" s="470">
        <v>1</v>
      </c>
      <c r="I470" s="470"/>
      <c r="J470" s="470"/>
      <c r="K470" s="694">
        <v>39589000</v>
      </c>
      <c r="L470" s="1007">
        <f t="shared" si="79"/>
        <v>39589000</v>
      </c>
      <c r="M470" s="1007">
        <f t="shared" si="80"/>
        <v>0</v>
      </c>
      <c r="N470" s="1007">
        <f t="shared" si="81"/>
        <v>39589000</v>
      </c>
      <c r="O470" s="1007">
        <f t="shared" si="82"/>
        <v>0</v>
      </c>
      <c r="P470" s="1007">
        <f t="shared" si="83"/>
        <v>0</v>
      </c>
      <c r="Q470" s="1207"/>
      <c r="R470" s="445"/>
      <c r="S470" s="445"/>
      <c r="T470" s="991">
        <f t="shared" si="73"/>
        <v>1</v>
      </c>
      <c r="U470" s="1008"/>
    </row>
    <row r="471" spans="1:21" ht="30">
      <c r="A471" s="469">
        <v>457</v>
      </c>
      <c r="B471" s="478" t="s">
        <v>1630</v>
      </c>
      <c r="C471" s="481" t="s">
        <v>1631</v>
      </c>
      <c r="D471" s="470">
        <v>3</v>
      </c>
      <c r="E471" s="819"/>
      <c r="F471" s="472"/>
      <c r="G471" s="470"/>
      <c r="H471" s="470">
        <v>2</v>
      </c>
      <c r="I471" s="470">
        <v>1</v>
      </c>
      <c r="J471" s="470"/>
      <c r="K471" s="694">
        <v>234509000</v>
      </c>
      <c r="L471" s="1007">
        <f t="shared" si="79"/>
        <v>703527000</v>
      </c>
      <c r="M471" s="1007">
        <f t="shared" si="80"/>
        <v>0</v>
      </c>
      <c r="N471" s="1007">
        <f t="shared" si="81"/>
        <v>469018000</v>
      </c>
      <c r="O471" s="1007">
        <f t="shared" si="82"/>
        <v>234509000</v>
      </c>
      <c r="P471" s="1007">
        <f t="shared" si="83"/>
        <v>0</v>
      </c>
      <c r="Q471" s="1207"/>
      <c r="R471" s="445"/>
      <c r="S471" s="445"/>
      <c r="T471" s="991">
        <f t="shared" si="73"/>
        <v>3</v>
      </c>
      <c r="U471" s="1008"/>
    </row>
    <row r="472" spans="1:21" ht="30">
      <c r="A472" s="469">
        <v>458</v>
      </c>
      <c r="B472" s="478" t="s">
        <v>1632</v>
      </c>
      <c r="C472" s="481" t="s">
        <v>1633</v>
      </c>
      <c r="D472" s="470">
        <v>2</v>
      </c>
      <c r="E472" s="819"/>
      <c r="F472" s="472"/>
      <c r="G472" s="470"/>
      <c r="H472" s="470">
        <v>1</v>
      </c>
      <c r="I472" s="470">
        <v>1</v>
      </c>
      <c r="J472" s="470"/>
      <c r="K472" s="694">
        <v>257388000</v>
      </c>
      <c r="L472" s="1007">
        <f t="shared" si="79"/>
        <v>514776000</v>
      </c>
      <c r="M472" s="1007">
        <f t="shared" si="80"/>
        <v>0</v>
      </c>
      <c r="N472" s="1007">
        <f t="shared" si="81"/>
        <v>257388000</v>
      </c>
      <c r="O472" s="1007">
        <f t="shared" si="82"/>
        <v>257388000</v>
      </c>
      <c r="P472" s="1007">
        <f t="shared" si="83"/>
        <v>0</v>
      </c>
      <c r="Q472" s="1207"/>
      <c r="R472" s="445"/>
      <c r="S472" s="445"/>
      <c r="T472" s="991">
        <f t="shared" si="73"/>
        <v>2</v>
      </c>
      <c r="U472" s="1008"/>
    </row>
    <row r="473" spans="1:21" ht="30">
      <c r="A473" s="469">
        <v>459</v>
      </c>
      <c r="B473" s="478" t="s">
        <v>1634</v>
      </c>
      <c r="C473" s="481" t="s">
        <v>1635</v>
      </c>
      <c r="D473" s="470">
        <v>4</v>
      </c>
      <c r="E473" s="819"/>
      <c r="F473" s="472"/>
      <c r="G473" s="470"/>
      <c r="H473" s="470">
        <v>2</v>
      </c>
      <c r="I473" s="470">
        <v>2</v>
      </c>
      <c r="J473" s="470"/>
      <c r="K473" s="694">
        <v>20198000</v>
      </c>
      <c r="L473" s="1007">
        <f t="shared" si="79"/>
        <v>80792000</v>
      </c>
      <c r="M473" s="1007">
        <f t="shared" si="80"/>
        <v>0</v>
      </c>
      <c r="N473" s="1007">
        <f t="shared" si="81"/>
        <v>40396000</v>
      </c>
      <c r="O473" s="1007">
        <f t="shared" si="82"/>
        <v>40396000</v>
      </c>
      <c r="P473" s="1007">
        <f t="shared" si="83"/>
        <v>0</v>
      </c>
      <c r="Q473" s="1207"/>
      <c r="R473" s="445"/>
      <c r="S473" s="445"/>
      <c r="T473" s="991">
        <f t="shared" si="73"/>
        <v>4</v>
      </c>
      <c r="U473" s="1008"/>
    </row>
    <row r="474" spans="1:21" ht="15.75">
      <c r="A474" s="469">
        <v>460</v>
      </c>
      <c r="B474" s="478" t="s">
        <v>1636</v>
      </c>
      <c r="C474" s="481" t="s">
        <v>1637</v>
      </c>
      <c r="D474" s="470">
        <v>40</v>
      </c>
      <c r="E474" s="819"/>
      <c r="F474" s="472"/>
      <c r="G474" s="470"/>
      <c r="H474" s="470">
        <v>20</v>
      </c>
      <c r="I474" s="470">
        <v>20</v>
      </c>
      <c r="J474" s="470"/>
      <c r="K474" s="694">
        <v>4826000</v>
      </c>
      <c r="L474" s="1007">
        <f t="shared" si="79"/>
        <v>193040000</v>
      </c>
      <c r="M474" s="1007">
        <f t="shared" si="80"/>
        <v>0</v>
      </c>
      <c r="N474" s="1007">
        <f t="shared" si="81"/>
        <v>96520000</v>
      </c>
      <c r="O474" s="1007">
        <f t="shared" si="82"/>
        <v>96520000</v>
      </c>
      <c r="P474" s="1007">
        <f t="shared" si="83"/>
        <v>0</v>
      </c>
      <c r="Q474" s="1207"/>
      <c r="R474" s="445"/>
      <c r="S474" s="445"/>
      <c r="T474" s="991">
        <f t="shared" si="73"/>
        <v>40</v>
      </c>
      <c r="U474" s="1008"/>
    </row>
    <row r="475" spans="1:21" ht="15.75">
      <c r="A475" s="469">
        <v>461</v>
      </c>
      <c r="B475" s="495" t="s">
        <v>1638</v>
      </c>
      <c r="C475" s="496" t="s">
        <v>1639</v>
      </c>
      <c r="D475" s="470">
        <v>40</v>
      </c>
      <c r="E475" s="819"/>
      <c r="F475" s="472"/>
      <c r="G475" s="470"/>
      <c r="H475" s="470">
        <v>20</v>
      </c>
      <c r="I475" s="470">
        <v>20</v>
      </c>
      <c r="J475" s="470"/>
      <c r="K475" s="694"/>
      <c r="L475" s="1007">
        <f t="shared" si="79"/>
        <v>0</v>
      </c>
      <c r="M475" s="1007">
        <f t="shared" si="80"/>
        <v>0</v>
      </c>
      <c r="N475" s="1007">
        <f t="shared" si="81"/>
        <v>0</v>
      </c>
      <c r="O475" s="1007">
        <f t="shared" si="82"/>
        <v>0</v>
      </c>
      <c r="P475" s="1007">
        <f t="shared" si="83"/>
        <v>0</v>
      </c>
      <c r="Q475" s="1207"/>
      <c r="R475" s="445"/>
      <c r="S475" s="445"/>
      <c r="T475" s="991">
        <f t="shared" si="73"/>
        <v>40</v>
      </c>
      <c r="U475" s="1008"/>
    </row>
    <row r="476" spans="1:21" ht="15.75">
      <c r="A476" s="469">
        <v>462</v>
      </c>
      <c r="B476" s="478" t="s">
        <v>1640</v>
      </c>
      <c r="C476" s="480" t="s">
        <v>1641</v>
      </c>
      <c r="D476" s="470">
        <v>4</v>
      </c>
      <c r="E476" s="819"/>
      <c r="F476" s="472"/>
      <c r="G476" s="470"/>
      <c r="H476" s="470">
        <v>4</v>
      </c>
      <c r="I476" s="470"/>
      <c r="J476" s="470"/>
      <c r="K476" s="488">
        <v>1407718.24</v>
      </c>
      <c r="L476" s="1007">
        <f t="shared" si="79"/>
        <v>5630872.96</v>
      </c>
      <c r="M476" s="1007">
        <f t="shared" si="80"/>
        <v>0</v>
      </c>
      <c r="N476" s="1007">
        <f t="shared" si="81"/>
        <v>5630872.96</v>
      </c>
      <c r="O476" s="1007">
        <f t="shared" si="82"/>
        <v>0</v>
      </c>
      <c r="P476" s="1007">
        <f t="shared" si="83"/>
        <v>0</v>
      </c>
      <c r="Q476" s="1207"/>
      <c r="R476" s="445"/>
      <c r="S476" s="445"/>
      <c r="T476" s="991">
        <f t="shared" si="73"/>
        <v>4</v>
      </c>
      <c r="U476" s="1008"/>
    </row>
    <row r="477" spans="1:21" ht="15.75">
      <c r="A477" s="469">
        <v>463</v>
      </c>
      <c r="B477" s="478" t="s">
        <v>1642</v>
      </c>
      <c r="C477" s="480" t="s">
        <v>1643</v>
      </c>
      <c r="D477" s="470">
        <v>6</v>
      </c>
      <c r="E477" s="819"/>
      <c r="F477" s="472"/>
      <c r="G477" s="470"/>
      <c r="H477" s="470">
        <v>6</v>
      </c>
      <c r="I477" s="470"/>
      <c r="J477" s="470"/>
      <c r="K477" s="488">
        <v>3820949.47</v>
      </c>
      <c r="L477" s="1007">
        <f t="shared" si="79"/>
        <v>22925696.82</v>
      </c>
      <c r="M477" s="1007">
        <f t="shared" si="80"/>
        <v>0</v>
      </c>
      <c r="N477" s="1007">
        <f t="shared" si="81"/>
        <v>22925696.82</v>
      </c>
      <c r="O477" s="1007">
        <f t="shared" si="82"/>
        <v>0</v>
      </c>
      <c r="P477" s="1007">
        <f t="shared" si="83"/>
        <v>0</v>
      </c>
      <c r="Q477" s="1207"/>
      <c r="R477" s="445"/>
      <c r="S477" s="445"/>
      <c r="T477" s="991">
        <f t="shared" si="73"/>
        <v>6</v>
      </c>
      <c r="U477" s="1008"/>
    </row>
    <row r="478" spans="1:21" ht="15.75">
      <c r="A478" s="469">
        <v>464</v>
      </c>
      <c r="B478" s="478" t="s">
        <v>1644</v>
      </c>
      <c r="C478" s="480" t="s">
        <v>1645</v>
      </c>
      <c r="D478" s="470">
        <v>1</v>
      </c>
      <c r="E478" s="819"/>
      <c r="F478" s="472"/>
      <c r="G478" s="470"/>
      <c r="H478" s="470">
        <v>1</v>
      </c>
      <c r="I478" s="470"/>
      <c r="J478" s="470"/>
      <c r="K478" s="488">
        <v>71793629.590000004</v>
      </c>
      <c r="L478" s="1007">
        <f t="shared" si="79"/>
        <v>71793629.590000004</v>
      </c>
      <c r="M478" s="1007">
        <f t="shared" si="80"/>
        <v>0</v>
      </c>
      <c r="N478" s="1007">
        <f t="shared" si="81"/>
        <v>71793629.590000004</v>
      </c>
      <c r="O478" s="1007">
        <f t="shared" si="82"/>
        <v>0</v>
      </c>
      <c r="P478" s="1007">
        <f t="shared" si="83"/>
        <v>0</v>
      </c>
      <c r="Q478" s="1207"/>
      <c r="R478" s="445"/>
      <c r="S478" s="445"/>
      <c r="T478" s="991">
        <f t="shared" si="73"/>
        <v>1</v>
      </c>
      <c r="U478" s="1008"/>
    </row>
    <row r="479" spans="1:21" ht="15.75">
      <c r="A479" s="469">
        <v>465</v>
      </c>
      <c r="B479" s="478" t="s">
        <v>1646</v>
      </c>
      <c r="C479" s="480" t="s">
        <v>1647</v>
      </c>
      <c r="D479" s="470">
        <v>3</v>
      </c>
      <c r="E479" s="819"/>
      <c r="F479" s="472"/>
      <c r="G479" s="470"/>
      <c r="H479" s="470">
        <v>3</v>
      </c>
      <c r="I479" s="470"/>
      <c r="J479" s="470"/>
      <c r="K479" s="488">
        <v>68978193.140000001</v>
      </c>
      <c r="L479" s="1007">
        <f t="shared" si="79"/>
        <v>206934579.42000002</v>
      </c>
      <c r="M479" s="1007">
        <f t="shared" si="80"/>
        <v>0</v>
      </c>
      <c r="N479" s="1007">
        <f t="shared" si="81"/>
        <v>206934579.42000002</v>
      </c>
      <c r="O479" s="1007">
        <f t="shared" si="82"/>
        <v>0</v>
      </c>
      <c r="P479" s="1007">
        <f t="shared" si="83"/>
        <v>0</v>
      </c>
      <c r="Q479" s="1207"/>
      <c r="R479" s="445"/>
      <c r="S479" s="445"/>
      <c r="T479" s="991">
        <f t="shared" si="73"/>
        <v>3</v>
      </c>
      <c r="U479" s="1008"/>
    </row>
    <row r="480" spans="1:21" ht="15.75">
      <c r="A480" s="469">
        <v>466</v>
      </c>
      <c r="B480" s="478" t="s">
        <v>1648</v>
      </c>
      <c r="C480" s="479" t="s">
        <v>1649</v>
      </c>
      <c r="D480" s="470">
        <v>4</v>
      </c>
      <c r="E480" s="819"/>
      <c r="F480" s="472"/>
      <c r="G480" s="470"/>
      <c r="H480" s="470">
        <v>4</v>
      </c>
      <c r="I480" s="470"/>
      <c r="J480" s="470"/>
      <c r="K480" s="488">
        <v>92909402.989999995</v>
      </c>
      <c r="L480" s="1007">
        <f t="shared" si="79"/>
        <v>371637611.95999998</v>
      </c>
      <c r="M480" s="1007">
        <f t="shared" si="80"/>
        <v>0</v>
      </c>
      <c r="N480" s="1007">
        <f t="shared" si="81"/>
        <v>371637611.95999998</v>
      </c>
      <c r="O480" s="1007">
        <f t="shared" si="82"/>
        <v>0</v>
      </c>
      <c r="P480" s="1007">
        <f t="shared" si="83"/>
        <v>0</v>
      </c>
      <c r="Q480" s="1207"/>
      <c r="R480" s="445"/>
      <c r="S480" s="445"/>
      <c r="T480" s="991">
        <f t="shared" si="73"/>
        <v>4</v>
      </c>
      <c r="U480" s="1008"/>
    </row>
    <row r="481" spans="1:21" ht="30">
      <c r="A481" s="469">
        <v>467</v>
      </c>
      <c r="B481" s="478" t="s">
        <v>1650</v>
      </c>
      <c r="C481" s="480" t="s">
        <v>1635</v>
      </c>
      <c r="D481" s="470">
        <v>6</v>
      </c>
      <c r="E481" s="819"/>
      <c r="F481" s="472"/>
      <c r="G481" s="470"/>
      <c r="H481" s="470">
        <v>3</v>
      </c>
      <c r="I481" s="470">
        <v>3</v>
      </c>
      <c r="J481" s="470"/>
      <c r="K481" s="694">
        <v>4676000</v>
      </c>
      <c r="L481" s="1007">
        <f t="shared" si="79"/>
        <v>28056000</v>
      </c>
      <c r="M481" s="1007">
        <f t="shared" si="80"/>
        <v>0</v>
      </c>
      <c r="N481" s="1007">
        <f t="shared" si="81"/>
        <v>14028000</v>
      </c>
      <c r="O481" s="1007">
        <f t="shared" si="82"/>
        <v>14028000</v>
      </c>
      <c r="P481" s="1007">
        <f t="shared" si="83"/>
        <v>0</v>
      </c>
      <c r="Q481" s="1207"/>
      <c r="R481" s="445"/>
      <c r="S481" s="445"/>
      <c r="T481" s="991">
        <f t="shared" si="73"/>
        <v>6</v>
      </c>
      <c r="U481" s="1008"/>
    </row>
    <row r="482" spans="1:21" ht="15.75">
      <c r="A482" s="469">
        <v>468</v>
      </c>
      <c r="B482" s="478" t="s">
        <v>1651</v>
      </c>
      <c r="C482" s="480" t="s">
        <v>1652</v>
      </c>
      <c r="D482" s="470">
        <v>2</v>
      </c>
      <c r="E482" s="819"/>
      <c r="F482" s="472"/>
      <c r="G482" s="470"/>
      <c r="H482" s="470">
        <v>2</v>
      </c>
      <c r="I482" s="470"/>
      <c r="J482" s="470"/>
      <c r="K482" s="694">
        <v>6356000</v>
      </c>
      <c r="L482" s="1007">
        <f t="shared" si="79"/>
        <v>12712000</v>
      </c>
      <c r="M482" s="1007">
        <f t="shared" si="80"/>
        <v>0</v>
      </c>
      <c r="N482" s="1007">
        <f t="shared" si="81"/>
        <v>12712000</v>
      </c>
      <c r="O482" s="1007">
        <f t="shared" si="82"/>
        <v>0</v>
      </c>
      <c r="P482" s="1007">
        <f t="shared" si="83"/>
        <v>0</v>
      </c>
      <c r="Q482" s="1207"/>
      <c r="R482" s="445"/>
      <c r="S482" s="445"/>
      <c r="T482" s="991">
        <f t="shared" si="73"/>
        <v>2</v>
      </c>
      <c r="U482" s="1008"/>
    </row>
    <row r="483" spans="1:21" ht="15.75">
      <c r="A483" s="469">
        <v>469</v>
      </c>
      <c r="B483" s="478" t="s">
        <v>1653</v>
      </c>
      <c r="C483" s="480" t="s">
        <v>1654</v>
      </c>
      <c r="D483" s="470">
        <v>2</v>
      </c>
      <c r="E483" s="819"/>
      <c r="F483" s="472"/>
      <c r="G483" s="470"/>
      <c r="H483" s="470">
        <v>2</v>
      </c>
      <c r="I483" s="470"/>
      <c r="J483" s="470"/>
      <c r="K483" s="694">
        <v>4648000</v>
      </c>
      <c r="L483" s="1007">
        <f t="shared" si="79"/>
        <v>9296000</v>
      </c>
      <c r="M483" s="1007">
        <f t="shared" si="80"/>
        <v>0</v>
      </c>
      <c r="N483" s="1007">
        <f t="shared" si="81"/>
        <v>9296000</v>
      </c>
      <c r="O483" s="1007">
        <f t="shared" si="82"/>
        <v>0</v>
      </c>
      <c r="P483" s="1007">
        <f t="shared" si="83"/>
        <v>0</v>
      </c>
      <c r="Q483" s="1207"/>
      <c r="R483" s="445"/>
      <c r="S483" s="445"/>
      <c r="T483" s="991">
        <f t="shared" ref="T483:T546" si="84">G483+H483+I483+J483-S483</f>
        <v>2</v>
      </c>
      <c r="U483" s="1008"/>
    </row>
    <row r="484" spans="1:21" ht="15.75">
      <c r="A484" s="469">
        <v>470</v>
      </c>
      <c r="B484" s="478" t="s">
        <v>1655</v>
      </c>
      <c r="C484" s="479" t="s">
        <v>1656</v>
      </c>
      <c r="D484" s="470">
        <v>11</v>
      </c>
      <c r="E484" s="819"/>
      <c r="F484" s="472"/>
      <c r="G484" s="470"/>
      <c r="H484" s="470">
        <v>6</v>
      </c>
      <c r="I484" s="470">
        <v>5</v>
      </c>
      <c r="J484" s="470"/>
      <c r="K484" s="694">
        <v>1609000</v>
      </c>
      <c r="L484" s="1007">
        <f t="shared" si="79"/>
        <v>17699000</v>
      </c>
      <c r="M484" s="1007">
        <f t="shared" si="80"/>
        <v>0</v>
      </c>
      <c r="N484" s="1007">
        <f t="shared" si="81"/>
        <v>9654000</v>
      </c>
      <c r="O484" s="1007">
        <f t="shared" si="82"/>
        <v>8045000</v>
      </c>
      <c r="P484" s="1007">
        <f t="shared" si="83"/>
        <v>0</v>
      </c>
      <c r="Q484" s="1207"/>
      <c r="R484" s="445"/>
      <c r="S484" s="445"/>
      <c r="T484" s="991">
        <f t="shared" si="84"/>
        <v>11</v>
      </c>
      <c r="U484" s="1008"/>
    </row>
    <row r="485" spans="1:21" ht="15.75">
      <c r="A485" s="469">
        <v>471</v>
      </c>
      <c r="B485" s="478" t="s">
        <v>1657</v>
      </c>
      <c r="C485" s="480" t="s">
        <v>1658</v>
      </c>
      <c r="D485" s="470">
        <v>1</v>
      </c>
      <c r="E485" s="819"/>
      <c r="F485" s="472"/>
      <c r="G485" s="470"/>
      <c r="H485" s="470">
        <v>1</v>
      </c>
      <c r="I485" s="470"/>
      <c r="J485" s="470"/>
      <c r="K485" s="694">
        <v>1430000</v>
      </c>
      <c r="L485" s="1007">
        <f t="shared" si="79"/>
        <v>1430000</v>
      </c>
      <c r="M485" s="1007">
        <f t="shared" si="80"/>
        <v>0</v>
      </c>
      <c r="N485" s="1007">
        <f t="shared" si="81"/>
        <v>1430000</v>
      </c>
      <c r="O485" s="1007">
        <f t="shared" si="82"/>
        <v>0</v>
      </c>
      <c r="P485" s="1007">
        <f t="shared" si="83"/>
        <v>0</v>
      </c>
      <c r="Q485" s="1207"/>
      <c r="R485" s="445"/>
      <c r="S485" s="445"/>
      <c r="T485" s="991">
        <f t="shared" si="84"/>
        <v>1</v>
      </c>
      <c r="U485" s="1008"/>
    </row>
    <row r="486" spans="1:21" ht="30">
      <c r="A486" s="469">
        <v>472</v>
      </c>
      <c r="B486" s="495" t="s">
        <v>1659</v>
      </c>
      <c r="C486" s="496" t="s">
        <v>1660</v>
      </c>
      <c r="D486" s="470">
        <v>1</v>
      </c>
      <c r="E486" s="819"/>
      <c r="F486" s="472"/>
      <c r="G486" s="470"/>
      <c r="H486" s="470">
        <v>1</v>
      </c>
      <c r="I486" s="470"/>
      <c r="J486" s="470"/>
      <c r="K486" s="694"/>
      <c r="L486" s="1007">
        <f t="shared" si="79"/>
        <v>0</v>
      </c>
      <c r="M486" s="1007">
        <f t="shared" si="80"/>
        <v>0</v>
      </c>
      <c r="N486" s="1007">
        <f t="shared" si="81"/>
        <v>0</v>
      </c>
      <c r="O486" s="1007">
        <f t="shared" si="82"/>
        <v>0</v>
      </c>
      <c r="P486" s="1007">
        <f t="shared" si="83"/>
        <v>0</v>
      </c>
      <c r="Q486" s="1207"/>
      <c r="R486" s="445"/>
      <c r="S486" s="445"/>
      <c r="T486" s="991">
        <f t="shared" si="84"/>
        <v>1</v>
      </c>
      <c r="U486" s="1008"/>
    </row>
    <row r="487" spans="1:21" ht="15.75">
      <c r="A487" s="469">
        <v>473</v>
      </c>
      <c r="B487" s="478" t="s">
        <v>1661</v>
      </c>
      <c r="C487" s="479" t="s">
        <v>1662</v>
      </c>
      <c r="D487" s="470">
        <v>5</v>
      </c>
      <c r="E487" s="819"/>
      <c r="F487" s="472"/>
      <c r="G487" s="470"/>
      <c r="H487" s="470">
        <v>3</v>
      </c>
      <c r="I487" s="470">
        <v>2</v>
      </c>
      <c r="J487" s="470"/>
      <c r="K487" s="488">
        <v>1085350753.1800001</v>
      </c>
      <c r="L487" s="1007">
        <f t="shared" si="79"/>
        <v>5426753765.9000006</v>
      </c>
      <c r="M487" s="1007">
        <f t="shared" si="80"/>
        <v>0</v>
      </c>
      <c r="N487" s="1007">
        <f t="shared" si="81"/>
        <v>3256052259.54</v>
      </c>
      <c r="O487" s="1007">
        <f t="shared" si="82"/>
        <v>2170701506.3600001</v>
      </c>
      <c r="P487" s="1007">
        <f t="shared" si="83"/>
        <v>0</v>
      </c>
      <c r="Q487" s="1207"/>
      <c r="R487" s="445"/>
      <c r="S487" s="445"/>
      <c r="T487" s="991">
        <f t="shared" si="84"/>
        <v>5</v>
      </c>
      <c r="U487" s="1008"/>
    </row>
    <row r="488" spans="1:21" ht="15.75">
      <c r="A488" s="469">
        <v>474</v>
      </c>
      <c r="B488" s="478" t="s">
        <v>1661</v>
      </c>
      <c r="C488" s="479" t="s">
        <v>1663</v>
      </c>
      <c r="D488" s="470">
        <v>2</v>
      </c>
      <c r="E488" s="819"/>
      <c r="F488" s="472"/>
      <c r="G488" s="470"/>
      <c r="H488" s="470">
        <v>2</v>
      </c>
      <c r="I488" s="470"/>
      <c r="J488" s="470"/>
      <c r="K488" s="488">
        <v>750313815.11000001</v>
      </c>
      <c r="L488" s="1007">
        <f t="shared" si="79"/>
        <v>1500627630.22</v>
      </c>
      <c r="M488" s="1007">
        <f t="shared" si="80"/>
        <v>0</v>
      </c>
      <c r="N488" s="1007">
        <f t="shared" si="81"/>
        <v>1500627630.22</v>
      </c>
      <c r="O488" s="1007">
        <f t="shared" si="82"/>
        <v>0</v>
      </c>
      <c r="P488" s="1007">
        <f t="shared" si="83"/>
        <v>0</v>
      </c>
      <c r="Q488" s="1207"/>
      <c r="R488" s="445"/>
      <c r="S488" s="445"/>
      <c r="T488" s="991">
        <f t="shared" si="84"/>
        <v>2</v>
      </c>
      <c r="U488" s="1008"/>
    </row>
    <row r="489" spans="1:21" ht="15.75">
      <c r="A489" s="469">
        <v>475</v>
      </c>
      <c r="B489" s="495" t="s">
        <v>1664</v>
      </c>
      <c r="C489" s="496" t="s">
        <v>1665</v>
      </c>
      <c r="D489" s="470">
        <v>1</v>
      </c>
      <c r="E489" s="819"/>
      <c r="F489" s="472"/>
      <c r="G489" s="470"/>
      <c r="H489" s="470">
        <v>1</v>
      </c>
      <c r="I489" s="470"/>
      <c r="J489" s="470"/>
      <c r="K489" s="694"/>
      <c r="L489" s="1007">
        <f t="shared" si="79"/>
        <v>0</v>
      </c>
      <c r="M489" s="1007">
        <f t="shared" si="80"/>
        <v>0</v>
      </c>
      <c r="N489" s="1007">
        <f t="shared" si="81"/>
        <v>0</v>
      </c>
      <c r="O489" s="1007">
        <f t="shared" si="82"/>
        <v>0</v>
      </c>
      <c r="P489" s="1007">
        <f t="shared" si="83"/>
        <v>0</v>
      </c>
      <c r="Q489" s="1207"/>
      <c r="R489" s="445"/>
      <c r="S489" s="445"/>
      <c r="T489" s="991">
        <f t="shared" si="84"/>
        <v>1</v>
      </c>
      <c r="U489" s="1008"/>
    </row>
    <row r="490" spans="1:21" ht="15.75">
      <c r="A490" s="469">
        <v>476</v>
      </c>
      <c r="B490" s="495" t="s">
        <v>1666</v>
      </c>
      <c r="C490" s="496" t="s">
        <v>1667</v>
      </c>
      <c r="D490" s="470">
        <v>1</v>
      </c>
      <c r="E490" s="819"/>
      <c r="F490" s="472"/>
      <c r="G490" s="470"/>
      <c r="H490" s="470">
        <v>1</v>
      </c>
      <c r="I490" s="470"/>
      <c r="J490" s="470"/>
      <c r="K490" s="694"/>
      <c r="L490" s="1007">
        <f t="shared" si="79"/>
        <v>0</v>
      </c>
      <c r="M490" s="1007">
        <f t="shared" si="80"/>
        <v>0</v>
      </c>
      <c r="N490" s="1007">
        <f t="shared" si="81"/>
        <v>0</v>
      </c>
      <c r="O490" s="1007">
        <f t="shared" si="82"/>
        <v>0</v>
      </c>
      <c r="P490" s="1007">
        <f t="shared" si="83"/>
        <v>0</v>
      </c>
      <c r="Q490" s="1207"/>
      <c r="R490" s="445"/>
      <c r="S490" s="445"/>
      <c r="T490" s="991">
        <f t="shared" si="84"/>
        <v>1</v>
      </c>
      <c r="U490" s="1008"/>
    </row>
    <row r="491" spans="1:21" ht="15.75">
      <c r="A491" s="469">
        <v>477</v>
      </c>
      <c r="B491" s="478" t="s">
        <v>1668</v>
      </c>
      <c r="C491" s="480" t="s">
        <v>1669</v>
      </c>
      <c r="D491" s="470">
        <v>1</v>
      </c>
      <c r="E491" s="819"/>
      <c r="F491" s="472"/>
      <c r="G491" s="470"/>
      <c r="H491" s="470">
        <v>1</v>
      </c>
      <c r="I491" s="470"/>
      <c r="J491" s="470"/>
      <c r="K491" s="694">
        <v>37357000</v>
      </c>
      <c r="L491" s="1007">
        <f t="shared" si="79"/>
        <v>37357000</v>
      </c>
      <c r="M491" s="1007">
        <f t="shared" si="80"/>
        <v>0</v>
      </c>
      <c r="N491" s="1007">
        <f t="shared" si="81"/>
        <v>37357000</v>
      </c>
      <c r="O491" s="1007">
        <f t="shared" si="82"/>
        <v>0</v>
      </c>
      <c r="P491" s="1007">
        <f t="shared" si="83"/>
        <v>0</v>
      </c>
      <c r="Q491" s="1207"/>
      <c r="R491" s="445"/>
      <c r="S491" s="445"/>
      <c r="T491" s="991">
        <f t="shared" si="84"/>
        <v>1</v>
      </c>
      <c r="U491" s="1008"/>
    </row>
    <row r="492" spans="1:21" ht="15.75">
      <c r="A492" s="469">
        <v>478</v>
      </c>
      <c r="B492" s="478" t="s">
        <v>1668</v>
      </c>
      <c r="C492" s="480" t="s">
        <v>1670</v>
      </c>
      <c r="D492" s="470">
        <v>1</v>
      </c>
      <c r="E492" s="819"/>
      <c r="F492" s="472"/>
      <c r="G492" s="470"/>
      <c r="H492" s="470">
        <v>1</v>
      </c>
      <c r="I492" s="470"/>
      <c r="J492" s="470"/>
      <c r="K492" s="694">
        <v>56147000</v>
      </c>
      <c r="L492" s="1007">
        <f t="shared" si="79"/>
        <v>56147000</v>
      </c>
      <c r="M492" s="1007">
        <f t="shared" si="80"/>
        <v>0</v>
      </c>
      <c r="N492" s="1007">
        <f t="shared" si="81"/>
        <v>56147000</v>
      </c>
      <c r="O492" s="1007">
        <f t="shared" si="82"/>
        <v>0</v>
      </c>
      <c r="P492" s="1007">
        <f t="shared" si="83"/>
        <v>0</v>
      </c>
      <c r="Q492" s="1207"/>
      <c r="R492" s="445"/>
      <c r="S492" s="445"/>
      <c r="T492" s="991">
        <f t="shared" si="84"/>
        <v>1</v>
      </c>
      <c r="U492" s="1008"/>
    </row>
    <row r="493" spans="1:21" ht="15.75">
      <c r="A493" s="469">
        <v>479</v>
      </c>
      <c r="B493" s="478" t="s">
        <v>1671</v>
      </c>
      <c r="C493" s="480" t="s">
        <v>1672</v>
      </c>
      <c r="D493" s="470">
        <v>2</v>
      </c>
      <c r="E493" s="819"/>
      <c r="F493" s="472"/>
      <c r="G493" s="470"/>
      <c r="H493" s="470">
        <v>2</v>
      </c>
      <c r="I493" s="470"/>
      <c r="J493" s="470"/>
      <c r="K493" s="694">
        <v>85648000</v>
      </c>
      <c r="L493" s="1007">
        <f t="shared" si="79"/>
        <v>171296000</v>
      </c>
      <c r="M493" s="1007">
        <f t="shared" si="80"/>
        <v>0</v>
      </c>
      <c r="N493" s="1007">
        <f t="shared" si="81"/>
        <v>171296000</v>
      </c>
      <c r="O493" s="1007">
        <f t="shared" si="82"/>
        <v>0</v>
      </c>
      <c r="P493" s="1007">
        <f t="shared" si="83"/>
        <v>0</v>
      </c>
      <c r="Q493" s="1207"/>
      <c r="R493" s="445"/>
      <c r="S493" s="445"/>
      <c r="T493" s="991">
        <f t="shared" si="84"/>
        <v>2</v>
      </c>
      <c r="U493" s="1008"/>
    </row>
    <row r="494" spans="1:21" ht="15.75">
      <c r="A494" s="469">
        <v>480</v>
      </c>
      <c r="B494" s="423" t="s">
        <v>1673</v>
      </c>
      <c r="C494" s="480" t="s">
        <v>1674</v>
      </c>
      <c r="D494" s="424">
        <v>22</v>
      </c>
      <c r="E494" s="463"/>
      <c r="F494" s="425"/>
      <c r="G494" s="424"/>
      <c r="H494" s="424">
        <v>11</v>
      </c>
      <c r="I494" s="424">
        <v>11</v>
      </c>
      <c r="J494" s="424"/>
      <c r="K494" s="694">
        <v>762000</v>
      </c>
      <c r="L494" s="1007">
        <f t="shared" si="79"/>
        <v>16764000</v>
      </c>
      <c r="M494" s="1007">
        <f t="shared" si="80"/>
        <v>0</v>
      </c>
      <c r="N494" s="1007">
        <f t="shared" si="81"/>
        <v>8382000</v>
      </c>
      <c r="O494" s="1007">
        <f t="shared" si="82"/>
        <v>8382000</v>
      </c>
      <c r="P494" s="1007">
        <f t="shared" si="83"/>
        <v>0</v>
      </c>
      <c r="Q494" s="1207"/>
      <c r="R494" s="445"/>
      <c r="S494" s="445"/>
      <c r="T494" s="991">
        <f t="shared" si="84"/>
        <v>22</v>
      </c>
      <c r="U494" s="1008"/>
    </row>
    <row r="495" spans="1:21" ht="15.75">
      <c r="A495" s="469">
        <v>481</v>
      </c>
      <c r="B495" s="495" t="s">
        <v>1675</v>
      </c>
      <c r="C495" s="496" t="s">
        <v>1676</v>
      </c>
      <c r="D495" s="470">
        <v>1</v>
      </c>
      <c r="E495" s="819"/>
      <c r="F495" s="472"/>
      <c r="G495" s="470"/>
      <c r="H495" s="470">
        <v>1</v>
      </c>
      <c r="I495" s="470"/>
      <c r="J495" s="470"/>
      <c r="K495" s="694"/>
      <c r="L495" s="1007">
        <f t="shared" si="79"/>
        <v>0</v>
      </c>
      <c r="M495" s="1007">
        <f t="shared" si="80"/>
        <v>0</v>
      </c>
      <c r="N495" s="1007">
        <f t="shared" si="81"/>
        <v>0</v>
      </c>
      <c r="O495" s="1007">
        <f t="shared" si="82"/>
        <v>0</v>
      </c>
      <c r="P495" s="1007">
        <f t="shared" si="83"/>
        <v>0</v>
      </c>
      <c r="Q495" s="1207"/>
      <c r="R495" s="445"/>
      <c r="S495" s="445"/>
      <c r="T495" s="991">
        <f t="shared" si="84"/>
        <v>1</v>
      </c>
      <c r="U495" s="1008"/>
    </row>
    <row r="496" spans="1:21" ht="15.75">
      <c r="A496" s="469">
        <v>482</v>
      </c>
      <c r="B496" s="495" t="s">
        <v>1677</v>
      </c>
      <c r="C496" s="496" t="s">
        <v>1678</v>
      </c>
      <c r="D496" s="470">
        <v>2</v>
      </c>
      <c r="E496" s="819"/>
      <c r="F496" s="472"/>
      <c r="G496" s="470"/>
      <c r="H496" s="470">
        <v>2</v>
      </c>
      <c r="I496" s="470"/>
      <c r="J496" s="470"/>
      <c r="K496" s="694"/>
      <c r="L496" s="1007">
        <f t="shared" si="79"/>
        <v>0</v>
      </c>
      <c r="M496" s="1007">
        <f t="shared" si="80"/>
        <v>0</v>
      </c>
      <c r="N496" s="1007">
        <f t="shared" si="81"/>
        <v>0</v>
      </c>
      <c r="O496" s="1007">
        <f t="shared" si="82"/>
        <v>0</v>
      </c>
      <c r="P496" s="1007">
        <f t="shared" si="83"/>
        <v>0</v>
      </c>
      <c r="Q496" s="1207"/>
      <c r="R496" s="445"/>
      <c r="S496" s="445"/>
      <c r="T496" s="991">
        <f t="shared" si="84"/>
        <v>2</v>
      </c>
      <c r="U496" s="1008"/>
    </row>
    <row r="497" spans="1:21" ht="30">
      <c r="A497" s="469">
        <v>483</v>
      </c>
      <c r="B497" s="495" t="s">
        <v>1677</v>
      </c>
      <c r="C497" s="496" t="s">
        <v>1679</v>
      </c>
      <c r="D497" s="470">
        <v>2</v>
      </c>
      <c r="E497" s="819"/>
      <c r="F497" s="472"/>
      <c r="G497" s="470"/>
      <c r="H497" s="470">
        <v>2</v>
      </c>
      <c r="I497" s="470"/>
      <c r="J497" s="470"/>
      <c r="K497" s="694"/>
      <c r="L497" s="1007">
        <f t="shared" si="79"/>
        <v>0</v>
      </c>
      <c r="M497" s="1007">
        <f t="shared" si="80"/>
        <v>0</v>
      </c>
      <c r="N497" s="1007">
        <f t="shared" si="81"/>
        <v>0</v>
      </c>
      <c r="O497" s="1007">
        <f t="shared" si="82"/>
        <v>0</v>
      </c>
      <c r="P497" s="1007">
        <f t="shared" si="83"/>
        <v>0</v>
      </c>
      <c r="Q497" s="1207"/>
      <c r="R497" s="445"/>
      <c r="S497" s="445"/>
      <c r="T497" s="991">
        <f t="shared" si="84"/>
        <v>2</v>
      </c>
      <c r="U497" s="1008"/>
    </row>
    <row r="498" spans="1:21" ht="15.75">
      <c r="A498" s="469">
        <v>484</v>
      </c>
      <c r="B498" s="495" t="s">
        <v>1680</v>
      </c>
      <c r="C498" s="496" t="s">
        <v>1681</v>
      </c>
      <c r="D498" s="470">
        <v>3</v>
      </c>
      <c r="E498" s="819"/>
      <c r="F498" s="472"/>
      <c r="G498" s="470"/>
      <c r="H498" s="470">
        <v>3</v>
      </c>
      <c r="I498" s="470"/>
      <c r="J498" s="470"/>
      <c r="K498" s="694"/>
      <c r="L498" s="1007">
        <f t="shared" si="79"/>
        <v>0</v>
      </c>
      <c r="M498" s="1007">
        <f t="shared" si="80"/>
        <v>0</v>
      </c>
      <c r="N498" s="1007">
        <f t="shared" si="81"/>
        <v>0</v>
      </c>
      <c r="O498" s="1007">
        <f t="shared" si="82"/>
        <v>0</v>
      </c>
      <c r="P498" s="1007">
        <f t="shared" si="83"/>
        <v>0</v>
      </c>
      <c r="Q498" s="1207"/>
      <c r="R498" s="445"/>
      <c r="S498" s="445"/>
      <c r="T498" s="991">
        <f t="shared" si="84"/>
        <v>3</v>
      </c>
      <c r="U498" s="1008"/>
    </row>
    <row r="499" spans="1:21" ht="15.75">
      <c r="A499" s="469">
        <v>485</v>
      </c>
      <c r="B499" s="495" t="s">
        <v>1682</v>
      </c>
      <c r="C499" s="496" t="s">
        <v>1683</v>
      </c>
      <c r="D499" s="470">
        <v>2</v>
      </c>
      <c r="E499" s="819"/>
      <c r="F499" s="472"/>
      <c r="G499" s="470"/>
      <c r="H499" s="470">
        <v>2</v>
      </c>
      <c r="I499" s="470"/>
      <c r="J499" s="470"/>
      <c r="K499" s="694"/>
      <c r="L499" s="1007">
        <f t="shared" si="79"/>
        <v>0</v>
      </c>
      <c r="M499" s="1007">
        <f t="shared" si="80"/>
        <v>0</v>
      </c>
      <c r="N499" s="1007">
        <f t="shared" si="81"/>
        <v>0</v>
      </c>
      <c r="O499" s="1007">
        <f t="shared" si="82"/>
        <v>0</v>
      </c>
      <c r="P499" s="1007">
        <f t="shared" si="83"/>
        <v>0</v>
      </c>
      <c r="Q499" s="1207"/>
      <c r="R499" s="445"/>
      <c r="S499" s="445"/>
      <c r="T499" s="991">
        <f t="shared" si="84"/>
        <v>2</v>
      </c>
      <c r="U499" s="1008"/>
    </row>
    <row r="500" spans="1:21" ht="30">
      <c r="A500" s="469">
        <v>486</v>
      </c>
      <c r="B500" s="495" t="s">
        <v>1682</v>
      </c>
      <c r="C500" s="496" t="s">
        <v>1684</v>
      </c>
      <c r="D500" s="470">
        <v>2</v>
      </c>
      <c r="E500" s="819"/>
      <c r="F500" s="472"/>
      <c r="G500" s="470"/>
      <c r="H500" s="470">
        <v>2</v>
      </c>
      <c r="I500" s="470"/>
      <c r="J500" s="470"/>
      <c r="K500" s="694"/>
      <c r="L500" s="1007">
        <f t="shared" si="79"/>
        <v>0</v>
      </c>
      <c r="M500" s="1007">
        <f t="shared" si="80"/>
        <v>0</v>
      </c>
      <c r="N500" s="1007">
        <f t="shared" si="81"/>
        <v>0</v>
      </c>
      <c r="O500" s="1007">
        <f t="shared" si="82"/>
        <v>0</v>
      </c>
      <c r="P500" s="1007">
        <f t="shared" si="83"/>
        <v>0</v>
      </c>
      <c r="Q500" s="1207"/>
      <c r="R500" s="445"/>
      <c r="S500" s="445"/>
      <c r="T500" s="991">
        <f t="shared" si="84"/>
        <v>2</v>
      </c>
      <c r="U500" s="1008"/>
    </row>
    <row r="501" spans="1:21" ht="30">
      <c r="A501" s="469">
        <v>487</v>
      </c>
      <c r="B501" s="496" t="s">
        <v>1685</v>
      </c>
      <c r="C501" s="496" t="s">
        <v>1686</v>
      </c>
      <c r="D501" s="470">
        <v>1</v>
      </c>
      <c r="E501" s="819"/>
      <c r="F501" s="472"/>
      <c r="G501" s="470"/>
      <c r="H501" s="470">
        <v>1</v>
      </c>
      <c r="I501" s="470"/>
      <c r="J501" s="470"/>
      <c r="K501" s="694"/>
      <c r="L501" s="1007">
        <f t="shared" si="79"/>
        <v>0</v>
      </c>
      <c r="M501" s="1007">
        <f t="shared" si="80"/>
        <v>0</v>
      </c>
      <c r="N501" s="1007">
        <f t="shared" si="81"/>
        <v>0</v>
      </c>
      <c r="O501" s="1007">
        <f t="shared" si="82"/>
        <v>0</v>
      </c>
      <c r="P501" s="1007">
        <f t="shared" si="83"/>
        <v>0</v>
      </c>
      <c r="Q501" s="1207"/>
      <c r="R501" s="445"/>
      <c r="S501" s="445"/>
      <c r="T501" s="991">
        <f t="shared" si="84"/>
        <v>1</v>
      </c>
      <c r="U501" s="1008"/>
    </row>
    <row r="502" spans="1:21" ht="30">
      <c r="A502" s="469">
        <v>488</v>
      </c>
      <c r="B502" s="483" t="s">
        <v>1687</v>
      </c>
      <c r="C502" s="480" t="s">
        <v>1688</v>
      </c>
      <c r="D502" s="470">
        <v>4</v>
      </c>
      <c r="E502" s="819"/>
      <c r="F502" s="472"/>
      <c r="G502" s="470"/>
      <c r="H502" s="470">
        <v>4</v>
      </c>
      <c r="I502" s="470"/>
      <c r="J502" s="470"/>
      <c r="K502" s="694">
        <v>1430000</v>
      </c>
      <c r="L502" s="1007">
        <f t="shared" si="79"/>
        <v>5720000</v>
      </c>
      <c r="M502" s="1007">
        <f t="shared" si="80"/>
        <v>0</v>
      </c>
      <c r="N502" s="1007">
        <f t="shared" si="81"/>
        <v>5720000</v>
      </c>
      <c r="O502" s="1007">
        <f t="shared" si="82"/>
        <v>0</v>
      </c>
      <c r="P502" s="1007">
        <f t="shared" si="83"/>
        <v>0</v>
      </c>
      <c r="Q502" s="1207"/>
      <c r="R502" s="445"/>
      <c r="S502" s="445"/>
      <c r="T502" s="991">
        <f t="shared" si="84"/>
        <v>4</v>
      </c>
      <c r="U502" s="1008"/>
    </row>
    <row r="503" spans="1:21" ht="30">
      <c r="A503" s="469">
        <v>489</v>
      </c>
      <c r="B503" s="484" t="s">
        <v>1687</v>
      </c>
      <c r="C503" s="480" t="s">
        <v>1689</v>
      </c>
      <c r="D503" s="470">
        <v>12</v>
      </c>
      <c r="E503" s="819"/>
      <c r="F503" s="472"/>
      <c r="G503" s="470"/>
      <c r="H503" s="470">
        <v>12</v>
      </c>
      <c r="I503" s="470"/>
      <c r="J503" s="470"/>
      <c r="K503" s="694">
        <v>2503000</v>
      </c>
      <c r="L503" s="1007">
        <f t="shared" si="79"/>
        <v>30036000</v>
      </c>
      <c r="M503" s="1007">
        <f t="shared" si="80"/>
        <v>0</v>
      </c>
      <c r="N503" s="1007">
        <f t="shared" si="81"/>
        <v>30036000</v>
      </c>
      <c r="O503" s="1007">
        <f t="shared" si="82"/>
        <v>0</v>
      </c>
      <c r="P503" s="1007">
        <f t="shared" si="83"/>
        <v>0</v>
      </c>
      <c r="Q503" s="1207"/>
      <c r="R503" s="445"/>
      <c r="S503" s="445"/>
      <c r="T503" s="991">
        <f t="shared" si="84"/>
        <v>12</v>
      </c>
      <c r="U503" s="1008"/>
    </row>
    <row r="504" spans="1:21" ht="15.75">
      <c r="A504" s="469">
        <v>490</v>
      </c>
      <c r="B504" s="478" t="s">
        <v>1690</v>
      </c>
      <c r="C504" s="480" t="s">
        <v>1691</v>
      </c>
      <c r="D504" s="470">
        <v>8</v>
      </c>
      <c r="E504" s="819"/>
      <c r="F504" s="472"/>
      <c r="G504" s="470"/>
      <c r="H504" s="470">
        <v>8</v>
      </c>
      <c r="I504" s="470"/>
      <c r="J504" s="470"/>
      <c r="K504" s="694">
        <v>3754000</v>
      </c>
      <c r="L504" s="1007">
        <f t="shared" si="79"/>
        <v>30032000</v>
      </c>
      <c r="M504" s="1007">
        <f t="shared" si="80"/>
        <v>0</v>
      </c>
      <c r="N504" s="1007">
        <f t="shared" si="81"/>
        <v>30032000</v>
      </c>
      <c r="O504" s="1007">
        <f t="shared" si="82"/>
        <v>0</v>
      </c>
      <c r="P504" s="1007">
        <f t="shared" si="83"/>
        <v>0</v>
      </c>
      <c r="Q504" s="1207"/>
      <c r="R504" s="445"/>
      <c r="S504" s="445"/>
      <c r="T504" s="991">
        <f t="shared" si="84"/>
        <v>8</v>
      </c>
      <c r="U504" s="1008"/>
    </row>
    <row r="505" spans="1:21" ht="45">
      <c r="A505" s="469">
        <v>491</v>
      </c>
      <c r="B505" s="478" t="s">
        <v>1692</v>
      </c>
      <c r="C505" s="482" t="s">
        <v>2711</v>
      </c>
      <c r="D505" s="470">
        <v>10</v>
      </c>
      <c r="E505" s="819"/>
      <c r="F505" s="472"/>
      <c r="G505" s="470"/>
      <c r="H505" s="470">
        <v>5</v>
      </c>
      <c r="I505" s="470">
        <v>5</v>
      </c>
      <c r="J505" s="470"/>
      <c r="K505" s="694">
        <v>1390000</v>
      </c>
      <c r="L505" s="1007">
        <f t="shared" si="79"/>
        <v>13900000</v>
      </c>
      <c r="M505" s="1007">
        <f t="shared" si="80"/>
        <v>0</v>
      </c>
      <c r="N505" s="1007">
        <f t="shared" si="81"/>
        <v>6950000</v>
      </c>
      <c r="O505" s="1007">
        <f t="shared" si="82"/>
        <v>6950000</v>
      </c>
      <c r="P505" s="1007">
        <f t="shared" si="83"/>
        <v>0</v>
      </c>
      <c r="Q505" s="1207"/>
      <c r="R505" s="445"/>
      <c r="S505" s="445"/>
      <c r="T505" s="991">
        <f t="shared" si="84"/>
        <v>10</v>
      </c>
      <c r="U505" s="1008"/>
    </row>
    <row r="506" spans="1:21" ht="15.75">
      <c r="A506" s="469">
        <v>492</v>
      </c>
      <c r="B506" s="478" t="s">
        <v>1693</v>
      </c>
      <c r="C506" s="480" t="s">
        <v>1694</v>
      </c>
      <c r="D506" s="470">
        <v>3</v>
      </c>
      <c r="E506" s="819"/>
      <c r="F506" s="472"/>
      <c r="G506" s="470"/>
      <c r="H506" s="470">
        <v>2</v>
      </c>
      <c r="I506" s="470">
        <v>1</v>
      </c>
      <c r="J506" s="470"/>
      <c r="K506" s="694">
        <v>3774000</v>
      </c>
      <c r="L506" s="1007">
        <f t="shared" si="79"/>
        <v>11322000</v>
      </c>
      <c r="M506" s="1007">
        <f t="shared" si="80"/>
        <v>0</v>
      </c>
      <c r="N506" s="1007">
        <f t="shared" si="81"/>
        <v>7548000</v>
      </c>
      <c r="O506" s="1007">
        <f t="shared" si="82"/>
        <v>3774000</v>
      </c>
      <c r="P506" s="1007">
        <f t="shared" si="83"/>
        <v>0</v>
      </c>
      <c r="Q506" s="1207"/>
      <c r="R506" s="445"/>
      <c r="S506" s="445"/>
      <c r="T506" s="991">
        <f t="shared" si="84"/>
        <v>3</v>
      </c>
      <c r="U506" s="1008"/>
    </row>
    <row r="507" spans="1:21" ht="15.75">
      <c r="A507" s="469">
        <v>493</v>
      </c>
      <c r="B507" s="478" t="s">
        <v>1693</v>
      </c>
      <c r="C507" s="479" t="s">
        <v>1695</v>
      </c>
      <c r="D507" s="470">
        <v>3</v>
      </c>
      <c r="E507" s="819"/>
      <c r="F507" s="472"/>
      <c r="G507" s="470"/>
      <c r="H507" s="470">
        <v>2</v>
      </c>
      <c r="I507" s="470">
        <v>1</v>
      </c>
      <c r="J507" s="470"/>
      <c r="K507" s="694">
        <v>794000</v>
      </c>
      <c r="L507" s="1007">
        <f t="shared" si="79"/>
        <v>2382000</v>
      </c>
      <c r="M507" s="1007">
        <f t="shared" si="80"/>
        <v>0</v>
      </c>
      <c r="N507" s="1007">
        <f t="shared" si="81"/>
        <v>1588000</v>
      </c>
      <c r="O507" s="1007">
        <f t="shared" si="82"/>
        <v>794000</v>
      </c>
      <c r="P507" s="1007">
        <f t="shared" si="83"/>
        <v>0</v>
      </c>
      <c r="Q507" s="1207"/>
      <c r="R507" s="445"/>
      <c r="S507" s="445"/>
      <c r="T507" s="991">
        <f t="shared" si="84"/>
        <v>3</v>
      </c>
      <c r="U507" s="1008"/>
    </row>
    <row r="508" spans="1:21" ht="15.75">
      <c r="A508" s="469">
        <v>494</v>
      </c>
      <c r="B508" s="478" t="s">
        <v>1696</v>
      </c>
      <c r="C508" s="479" t="s">
        <v>1697</v>
      </c>
      <c r="D508" s="470">
        <v>44</v>
      </c>
      <c r="E508" s="819"/>
      <c r="F508" s="472"/>
      <c r="G508" s="470"/>
      <c r="H508" s="470">
        <v>22</v>
      </c>
      <c r="I508" s="470">
        <v>22</v>
      </c>
      <c r="J508" s="470"/>
      <c r="K508" s="694">
        <v>1448000</v>
      </c>
      <c r="L508" s="1007">
        <f t="shared" si="79"/>
        <v>63712000</v>
      </c>
      <c r="M508" s="1007">
        <f t="shared" si="80"/>
        <v>0</v>
      </c>
      <c r="N508" s="1007">
        <f t="shared" si="81"/>
        <v>31856000</v>
      </c>
      <c r="O508" s="1007">
        <f t="shared" si="82"/>
        <v>31856000</v>
      </c>
      <c r="P508" s="1007">
        <f t="shared" si="83"/>
        <v>0</v>
      </c>
      <c r="Q508" s="1207"/>
      <c r="R508" s="445"/>
      <c r="S508" s="445"/>
      <c r="T508" s="991">
        <f t="shared" si="84"/>
        <v>44</v>
      </c>
      <c r="U508" s="1008"/>
    </row>
    <row r="509" spans="1:21" ht="45">
      <c r="A509" s="469">
        <v>495</v>
      </c>
      <c r="B509" s="496" t="s">
        <v>1698</v>
      </c>
      <c r="C509" s="496" t="s">
        <v>1699</v>
      </c>
      <c r="D509" s="470">
        <v>1</v>
      </c>
      <c r="E509" s="819"/>
      <c r="F509" s="472"/>
      <c r="G509" s="470"/>
      <c r="H509" s="470">
        <v>1</v>
      </c>
      <c r="I509" s="470"/>
      <c r="J509" s="470"/>
      <c r="K509" s="694"/>
      <c r="L509" s="1007">
        <f t="shared" si="79"/>
        <v>0</v>
      </c>
      <c r="M509" s="1007">
        <f t="shared" si="80"/>
        <v>0</v>
      </c>
      <c r="N509" s="1007">
        <f t="shared" si="81"/>
        <v>0</v>
      </c>
      <c r="O509" s="1007">
        <f t="shared" si="82"/>
        <v>0</v>
      </c>
      <c r="P509" s="1007">
        <f t="shared" si="83"/>
        <v>0</v>
      </c>
      <c r="Q509" s="1207"/>
      <c r="R509" s="445"/>
      <c r="S509" s="445"/>
      <c r="T509" s="991">
        <f t="shared" si="84"/>
        <v>1</v>
      </c>
      <c r="U509" s="1008"/>
    </row>
    <row r="510" spans="1:21" ht="30">
      <c r="A510" s="469">
        <v>496</v>
      </c>
      <c r="B510" s="495" t="s">
        <v>1700</v>
      </c>
      <c r="C510" s="496" t="s">
        <v>1701</v>
      </c>
      <c r="D510" s="470">
        <v>1</v>
      </c>
      <c r="E510" s="819"/>
      <c r="F510" s="472"/>
      <c r="G510" s="470"/>
      <c r="H510" s="470">
        <v>1</v>
      </c>
      <c r="I510" s="470"/>
      <c r="J510" s="470"/>
      <c r="K510" s="694"/>
      <c r="L510" s="1007">
        <f t="shared" si="79"/>
        <v>0</v>
      </c>
      <c r="M510" s="1007">
        <f t="shared" si="80"/>
        <v>0</v>
      </c>
      <c r="N510" s="1007">
        <f t="shared" si="81"/>
        <v>0</v>
      </c>
      <c r="O510" s="1007">
        <f t="shared" si="82"/>
        <v>0</v>
      </c>
      <c r="P510" s="1007">
        <f t="shared" si="83"/>
        <v>0</v>
      </c>
      <c r="Q510" s="1207"/>
      <c r="R510" s="445"/>
      <c r="S510" s="445"/>
      <c r="T510" s="991">
        <f t="shared" si="84"/>
        <v>1</v>
      </c>
      <c r="U510" s="1008"/>
    </row>
    <row r="511" spans="1:21" ht="30">
      <c r="A511" s="469">
        <v>497</v>
      </c>
      <c r="B511" s="495" t="s">
        <v>1702</v>
      </c>
      <c r="C511" s="496" t="s">
        <v>1703</v>
      </c>
      <c r="D511" s="470">
        <v>1</v>
      </c>
      <c r="E511" s="819"/>
      <c r="F511" s="472"/>
      <c r="G511" s="470"/>
      <c r="H511" s="470">
        <v>1</v>
      </c>
      <c r="I511" s="470"/>
      <c r="J511" s="470"/>
      <c r="K511" s="694"/>
      <c r="L511" s="1007">
        <f t="shared" si="79"/>
        <v>0</v>
      </c>
      <c r="M511" s="1007">
        <f t="shared" si="80"/>
        <v>0</v>
      </c>
      <c r="N511" s="1007">
        <f t="shared" si="81"/>
        <v>0</v>
      </c>
      <c r="O511" s="1007">
        <f t="shared" si="82"/>
        <v>0</v>
      </c>
      <c r="P511" s="1007">
        <f t="shared" si="83"/>
        <v>0</v>
      </c>
      <c r="Q511" s="1207"/>
      <c r="R511" s="445"/>
      <c r="S511" s="445"/>
      <c r="T511" s="991">
        <f t="shared" si="84"/>
        <v>1</v>
      </c>
      <c r="U511" s="1008"/>
    </row>
    <row r="512" spans="1:21" ht="30">
      <c r="A512" s="469">
        <v>498</v>
      </c>
      <c r="B512" s="495" t="s">
        <v>1702</v>
      </c>
      <c r="C512" s="496" t="s">
        <v>1704</v>
      </c>
      <c r="D512" s="470">
        <v>1</v>
      </c>
      <c r="E512" s="819"/>
      <c r="F512" s="472"/>
      <c r="G512" s="470"/>
      <c r="H512" s="470">
        <v>1</v>
      </c>
      <c r="I512" s="470"/>
      <c r="J512" s="470"/>
      <c r="K512" s="694"/>
      <c r="L512" s="1007">
        <f t="shared" si="79"/>
        <v>0</v>
      </c>
      <c r="M512" s="1007">
        <f t="shared" si="80"/>
        <v>0</v>
      </c>
      <c r="N512" s="1007">
        <f t="shared" si="81"/>
        <v>0</v>
      </c>
      <c r="O512" s="1007">
        <f t="shared" si="82"/>
        <v>0</v>
      </c>
      <c r="P512" s="1007">
        <f t="shared" si="83"/>
        <v>0</v>
      </c>
      <c r="Q512" s="1207"/>
      <c r="R512" s="445"/>
      <c r="S512" s="445"/>
      <c r="T512" s="991">
        <f t="shared" si="84"/>
        <v>1</v>
      </c>
      <c r="U512" s="1008"/>
    </row>
    <row r="513" spans="1:21" ht="30">
      <c r="A513" s="469">
        <v>499</v>
      </c>
      <c r="B513" s="478" t="s">
        <v>1705</v>
      </c>
      <c r="C513" s="480" t="s">
        <v>1706</v>
      </c>
      <c r="D513" s="470">
        <v>1</v>
      </c>
      <c r="E513" s="819"/>
      <c r="F513" s="472"/>
      <c r="G513" s="470"/>
      <c r="H513" s="470">
        <v>1</v>
      </c>
      <c r="I513" s="470"/>
      <c r="J513" s="470"/>
      <c r="K513" s="694">
        <v>65062000</v>
      </c>
      <c r="L513" s="1007">
        <f t="shared" si="79"/>
        <v>65062000</v>
      </c>
      <c r="M513" s="1007">
        <f t="shared" si="80"/>
        <v>0</v>
      </c>
      <c r="N513" s="1007">
        <f t="shared" si="81"/>
        <v>65062000</v>
      </c>
      <c r="O513" s="1007">
        <f t="shared" si="82"/>
        <v>0</v>
      </c>
      <c r="P513" s="1007">
        <f t="shared" si="83"/>
        <v>0</v>
      </c>
      <c r="Q513" s="1207"/>
      <c r="R513" s="445"/>
      <c r="S513" s="445"/>
      <c r="T513" s="991">
        <f t="shared" si="84"/>
        <v>1</v>
      </c>
      <c r="U513" s="1008"/>
    </row>
    <row r="514" spans="1:21" ht="15.75">
      <c r="A514" s="469">
        <v>500</v>
      </c>
      <c r="B514" s="478" t="s">
        <v>1707</v>
      </c>
      <c r="C514" s="479" t="s">
        <v>1708</v>
      </c>
      <c r="D514" s="470">
        <v>18</v>
      </c>
      <c r="E514" s="819"/>
      <c r="F514" s="472"/>
      <c r="G514" s="470"/>
      <c r="H514" s="470">
        <v>9</v>
      </c>
      <c r="I514" s="470">
        <v>9</v>
      </c>
      <c r="J514" s="470"/>
      <c r="K514" s="694">
        <v>4965000</v>
      </c>
      <c r="L514" s="1007">
        <f t="shared" si="79"/>
        <v>89370000</v>
      </c>
      <c r="M514" s="1007">
        <f t="shared" si="80"/>
        <v>0</v>
      </c>
      <c r="N514" s="1007">
        <f t="shared" si="81"/>
        <v>44685000</v>
      </c>
      <c r="O514" s="1007">
        <f t="shared" si="82"/>
        <v>44685000</v>
      </c>
      <c r="P514" s="1007">
        <f t="shared" si="83"/>
        <v>0</v>
      </c>
      <c r="Q514" s="1207"/>
      <c r="R514" s="445"/>
      <c r="S514" s="445"/>
      <c r="T514" s="991">
        <f t="shared" si="84"/>
        <v>18</v>
      </c>
      <c r="U514" s="1008"/>
    </row>
    <row r="515" spans="1:21" ht="30">
      <c r="A515" s="469">
        <v>501</v>
      </c>
      <c r="B515" s="495" t="s">
        <v>1709</v>
      </c>
      <c r="C515" s="497" t="s">
        <v>1710</v>
      </c>
      <c r="D515" s="470">
        <v>22</v>
      </c>
      <c r="E515" s="819"/>
      <c r="F515" s="472"/>
      <c r="G515" s="470"/>
      <c r="H515" s="470">
        <v>11</v>
      </c>
      <c r="I515" s="470">
        <v>11</v>
      </c>
      <c r="J515" s="470"/>
      <c r="K515" s="694"/>
      <c r="L515" s="1007">
        <f t="shared" si="79"/>
        <v>0</v>
      </c>
      <c r="M515" s="1007">
        <f t="shared" si="80"/>
        <v>0</v>
      </c>
      <c r="N515" s="1007">
        <f t="shared" si="81"/>
        <v>0</v>
      </c>
      <c r="O515" s="1007">
        <f t="shared" si="82"/>
        <v>0</v>
      </c>
      <c r="P515" s="1007">
        <f t="shared" si="83"/>
        <v>0</v>
      </c>
      <c r="Q515" s="1207"/>
      <c r="R515" s="445"/>
      <c r="S515" s="445"/>
      <c r="T515" s="991">
        <f t="shared" si="84"/>
        <v>22</v>
      </c>
      <c r="U515" s="1008"/>
    </row>
    <row r="516" spans="1:21" ht="15" customHeight="1">
      <c r="A516" s="469">
        <v>502</v>
      </c>
      <c r="B516" s="478" t="s">
        <v>1711</v>
      </c>
      <c r="C516" s="480" t="s">
        <v>1712</v>
      </c>
      <c r="D516" s="470">
        <v>1</v>
      </c>
      <c r="E516" s="819"/>
      <c r="F516" s="472"/>
      <c r="G516" s="470"/>
      <c r="H516" s="470">
        <v>1</v>
      </c>
      <c r="I516" s="470"/>
      <c r="J516" s="470"/>
      <c r="K516" s="694">
        <v>3178000</v>
      </c>
      <c r="L516" s="1007">
        <f t="shared" si="79"/>
        <v>3178000</v>
      </c>
      <c r="M516" s="1007">
        <f t="shared" si="80"/>
        <v>0</v>
      </c>
      <c r="N516" s="1007">
        <f t="shared" si="81"/>
        <v>3178000</v>
      </c>
      <c r="O516" s="1007">
        <f t="shared" si="82"/>
        <v>0</v>
      </c>
      <c r="P516" s="1007">
        <f t="shared" si="83"/>
        <v>0</v>
      </c>
      <c r="Q516" s="1207"/>
      <c r="R516" s="445"/>
      <c r="S516" s="445"/>
      <c r="T516" s="991">
        <f t="shared" si="84"/>
        <v>1</v>
      </c>
      <c r="U516" s="1008"/>
    </row>
    <row r="517" spans="1:21" ht="30">
      <c r="A517" s="469">
        <v>503</v>
      </c>
      <c r="B517" s="478" t="s">
        <v>1713</v>
      </c>
      <c r="C517" s="480" t="s">
        <v>1714</v>
      </c>
      <c r="D517" s="470">
        <v>2</v>
      </c>
      <c r="E517" s="819"/>
      <c r="F517" s="472"/>
      <c r="G517" s="470"/>
      <c r="H517" s="470">
        <v>2</v>
      </c>
      <c r="I517" s="470"/>
      <c r="J517" s="470"/>
      <c r="K517" s="694">
        <v>3774000</v>
      </c>
      <c r="L517" s="1007">
        <f t="shared" si="79"/>
        <v>7548000</v>
      </c>
      <c r="M517" s="1007">
        <f t="shared" si="80"/>
        <v>0</v>
      </c>
      <c r="N517" s="1007">
        <f t="shared" si="81"/>
        <v>7548000</v>
      </c>
      <c r="O517" s="1007">
        <f t="shared" si="82"/>
        <v>0</v>
      </c>
      <c r="P517" s="1007">
        <f t="shared" si="83"/>
        <v>0</v>
      </c>
      <c r="Q517" s="1207"/>
      <c r="R517" s="445"/>
      <c r="S517" s="445"/>
      <c r="T517" s="991">
        <f t="shared" si="84"/>
        <v>2</v>
      </c>
      <c r="U517" s="1008"/>
    </row>
    <row r="518" spans="1:21" ht="15.75">
      <c r="A518" s="469">
        <v>504</v>
      </c>
      <c r="B518" s="495" t="s">
        <v>1715</v>
      </c>
      <c r="C518" s="497" t="s">
        <v>1622</v>
      </c>
      <c r="D518" s="470">
        <v>22</v>
      </c>
      <c r="E518" s="819"/>
      <c r="F518" s="472"/>
      <c r="G518" s="470"/>
      <c r="H518" s="470">
        <v>11</v>
      </c>
      <c r="I518" s="470">
        <v>11</v>
      </c>
      <c r="J518" s="470"/>
      <c r="K518" s="694"/>
      <c r="L518" s="1007">
        <f t="shared" si="79"/>
        <v>0</v>
      </c>
      <c r="M518" s="1007">
        <f t="shared" si="80"/>
        <v>0</v>
      </c>
      <c r="N518" s="1007">
        <f t="shared" si="81"/>
        <v>0</v>
      </c>
      <c r="O518" s="1007">
        <f t="shared" si="82"/>
        <v>0</v>
      </c>
      <c r="P518" s="1007">
        <f t="shared" si="83"/>
        <v>0</v>
      </c>
      <c r="Q518" s="1207"/>
      <c r="R518" s="445"/>
      <c r="S518" s="445"/>
      <c r="T518" s="991">
        <f t="shared" si="84"/>
        <v>22</v>
      </c>
      <c r="U518" s="1008"/>
    </row>
    <row r="519" spans="1:21" ht="30">
      <c r="A519" s="469">
        <v>505</v>
      </c>
      <c r="B519" s="478" t="s">
        <v>1716</v>
      </c>
      <c r="C519" s="479" t="s">
        <v>1717</v>
      </c>
      <c r="D519" s="470">
        <v>5</v>
      </c>
      <c r="E519" s="467"/>
      <c r="F519" s="472"/>
      <c r="G519" s="470"/>
      <c r="H519" s="470">
        <v>3</v>
      </c>
      <c r="I519" s="470">
        <v>2</v>
      </c>
      <c r="J519" s="470"/>
      <c r="K519" s="694">
        <v>3236000</v>
      </c>
      <c r="L519" s="1007">
        <f t="shared" si="79"/>
        <v>16180000</v>
      </c>
      <c r="M519" s="1007">
        <f t="shared" si="80"/>
        <v>0</v>
      </c>
      <c r="N519" s="1007">
        <f t="shared" si="81"/>
        <v>9708000</v>
      </c>
      <c r="O519" s="1007">
        <f t="shared" si="82"/>
        <v>6472000</v>
      </c>
      <c r="P519" s="1007">
        <f t="shared" si="83"/>
        <v>0</v>
      </c>
      <c r="Q519" s="1207"/>
      <c r="R519" s="445"/>
      <c r="S519" s="445"/>
      <c r="T519" s="991">
        <f t="shared" si="84"/>
        <v>5</v>
      </c>
      <c r="U519" s="1008"/>
    </row>
    <row r="520" spans="1:21" ht="15.75">
      <c r="A520" s="469">
        <v>506</v>
      </c>
      <c r="B520" s="495" t="s">
        <v>1718</v>
      </c>
      <c r="C520" s="496" t="s">
        <v>1719</v>
      </c>
      <c r="D520" s="470">
        <v>1</v>
      </c>
      <c r="E520" s="467"/>
      <c r="F520" s="472"/>
      <c r="G520" s="470"/>
      <c r="H520" s="470">
        <v>1</v>
      </c>
      <c r="I520" s="470"/>
      <c r="J520" s="470"/>
      <c r="K520" s="694"/>
      <c r="L520" s="1007">
        <f t="shared" si="79"/>
        <v>0</v>
      </c>
      <c r="M520" s="1007">
        <f t="shared" si="80"/>
        <v>0</v>
      </c>
      <c r="N520" s="1007">
        <f t="shared" si="81"/>
        <v>0</v>
      </c>
      <c r="O520" s="1007">
        <f t="shared" si="82"/>
        <v>0</v>
      </c>
      <c r="P520" s="1007">
        <f t="shared" si="83"/>
        <v>0</v>
      </c>
      <c r="Q520" s="1207"/>
      <c r="R520" s="445"/>
      <c r="S520" s="445"/>
      <c r="T520" s="991">
        <f t="shared" si="84"/>
        <v>1</v>
      </c>
      <c r="U520" s="1008"/>
    </row>
    <row r="521" spans="1:21" ht="15.75">
      <c r="A521" s="469">
        <v>507</v>
      </c>
      <c r="B521" s="478" t="s">
        <v>1720</v>
      </c>
      <c r="C521" s="480" t="s">
        <v>1721</v>
      </c>
      <c r="D521" s="470">
        <v>35</v>
      </c>
      <c r="E521" s="819"/>
      <c r="F521" s="472"/>
      <c r="G521" s="470"/>
      <c r="H521" s="470">
        <v>15</v>
      </c>
      <c r="I521" s="470">
        <v>10</v>
      </c>
      <c r="J521" s="470">
        <v>10</v>
      </c>
      <c r="K521" s="694">
        <v>1251000</v>
      </c>
      <c r="L521" s="1007">
        <f t="shared" si="79"/>
        <v>43785000</v>
      </c>
      <c r="M521" s="1007">
        <f t="shared" si="80"/>
        <v>0</v>
      </c>
      <c r="N521" s="1007">
        <f t="shared" si="81"/>
        <v>18765000</v>
      </c>
      <c r="O521" s="1007">
        <f t="shared" si="82"/>
        <v>12510000</v>
      </c>
      <c r="P521" s="1007">
        <f t="shared" si="83"/>
        <v>12510000</v>
      </c>
      <c r="Q521" s="1207"/>
      <c r="R521" s="445"/>
      <c r="S521" s="445"/>
      <c r="T521" s="991">
        <f t="shared" si="84"/>
        <v>35</v>
      </c>
      <c r="U521" s="1008"/>
    </row>
    <row r="522" spans="1:21" ht="30" customHeight="1">
      <c r="A522" s="469">
        <v>508</v>
      </c>
      <c r="B522" s="478" t="s">
        <v>1722</v>
      </c>
      <c r="C522" s="480" t="s">
        <v>1723</v>
      </c>
      <c r="D522" s="470">
        <v>30</v>
      </c>
      <c r="E522" s="819"/>
      <c r="F522" s="472"/>
      <c r="G522" s="470"/>
      <c r="H522" s="470">
        <v>10</v>
      </c>
      <c r="I522" s="470">
        <v>10</v>
      </c>
      <c r="J522" s="470">
        <v>10</v>
      </c>
      <c r="K522" s="694">
        <v>357000</v>
      </c>
      <c r="L522" s="1007">
        <f t="shared" si="79"/>
        <v>10710000</v>
      </c>
      <c r="M522" s="1007">
        <f t="shared" si="80"/>
        <v>0</v>
      </c>
      <c r="N522" s="1007">
        <f t="shared" si="81"/>
        <v>3570000</v>
      </c>
      <c r="O522" s="1007">
        <f t="shared" si="82"/>
        <v>3570000</v>
      </c>
      <c r="P522" s="1007">
        <f t="shared" si="83"/>
        <v>3570000</v>
      </c>
      <c r="Q522" s="1207"/>
      <c r="R522" s="445"/>
      <c r="S522" s="445"/>
      <c r="T522" s="991">
        <f t="shared" si="84"/>
        <v>30</v>
      </c>
      <c r="U522" s="1008"/>
    </row>
    <row r="523" spans="1:21" ht="15.75">
      <c r="A523" s="469">
        <v>509</v>
      </c>
      <c r="B523" s="478" t="s">
        <v>1724</v>
      </c>
      <c r="C523" s="480" t="s">
        <v>1725</v>
      </c>
      <c r="D523" s="470">
        <v>2</v>
      </c>
      <c r="E523" s="819"/>
      <c r="F523" s="472"/>
      <c r="G523" s="470"/>
      <c r="H523" s="470">
        <v>1</v>
      </c>
      <c r="I523" s="470">
        <v>1</v>
      </c>
      <c r="J523" s="470"/>
      <c r="K523" s="694">
        <v>13048000</v>
      </c>
      <c r="L523" s="1007">
        <f t="shared" si="79"/>
        <v>26096000</v>
      </c>
      <c r="M523" s="1007">
        <f t="shared" si="80"/>
        <v>0</v>
      </c>
      <c r="N523" s="1007">
        <f t="shared" si="81"/>
        <v>13048000</v>
      </c>
      <c r="O523" s="1007">
        <f t="shared" si="82"/>
        <v>13048000</v>
      </c>
      <c r="P523" s="1007">
        <f t="shared" si="83"/>
        <v>0</v>
      </c>
      <c r="Q523" s="1207"/>
      <c r="R523" s="445"/>
      <c r="S523" s="445"/>
      <c r="T523" s="991">
        <f t="shared" si="84"/>
        <v>2</v>
      </c>
      <c r="U523" s="1008"/>
    </row>
    <row r="524" spans="1:21" ht="15.75">
      <c r="A524" s="469">
        <v>510</v>
      </c>
      <c r="B524" s="495" t="s">
        <v>1726</v>
      </c>
      <c r="C524" s="496" t="s">
        <v>1727</v>
      </c>
      <c r="D524" s="470">
        <v>1</v>
      </c>
      <c r="E524" s="819"/>
      <c r="F524" s="472"/>
      <c r="G524" s="470"/>
      <c r="H524" s="470">
        <v>1</v>
      </c>
      <c r="I524" s="470"/>
      <c r="J524" s="470"/>
      <c r="K524" s="694"/>
      <c r="L524" s="1007">
        <f t="shared" si="79"/>
        <v>0</v>
      </c>
      <c r="M524" s="1007">
        <f t="shared" si="80"/>
        <v>0</v>
      </c>
      <c r="N524" s="1007">
        <f t="shared" si="81"/>
        <v>0</v>
      </c>
      <c r="O524" s="1007">
        <f t="shared" si="82"/>
        <v>0</v>
      </c>
      <c r="P524" s="1007">
        <f t="shared" si="83"/>
        <v>0</v>
      </c>
      <c r="Q524" s="1207"/>
      <c r="R524" s="445"/>
      <c r="S524" s="445"/>
      <c r="T524" s="991">
        <f t="shared" si="84"/>
        <v>1</v>
      </c>
      <c r="U524" s="1008"/>
    </row>
    <row r="525" spans="1:21" ht="15.75">
      <c r="A525" s="469">
        <v>511</v>
      </c>
      <c r="B525" s="478" t="s">
        <v>1728</v>
      </c>
      <c r="C525" s="480" t="s">
        <v>1729</v>
      </c>
      <c r="D525" s="470">
        <v>2</v>
      </c>
      <c r="E525" s="819"/>
      <c r="F525" s="472"/>
      <c r="G525" s="470"/>
      <c r="H525" s="470">
        <v>2</v>
      </c>
      <c r="I525" s="470"/>
      <c r="J525" s="470"/>
      <c r="K525" s="694">
        <v>1986000</v>
      </c>
      <c r="L525" s="1007">
        <f t="shared" si="79"/>
        <v>3972000</v>
      </c>
      <c r="M525" s="1007">
        <f t="shared" si="80"/>
        <v>0</v>
      </c>
      <c r="N525" s="1007">
        <f t="shared" si="81"/>
        <v>3972000</v>
      </c>
      <c r="O525" s="1007">
        <f t="shared" si="82"/>
        <v>0</v>
      </c>
      <c r="P525" s="1007">
        <f t="shared" si="83"/>
        <v>0</v>
      </c>
      <c r="Q525" s="1207"/>
      <c r="R525" s="445"/>
      <c r="S525" s="445"/>
      <c r="T525" s="991">
        <f t="shared" si="84"/>
        <v>2</v>
      </c>
      <c r="U525" s="1008"/>
    </row>
    <row r="526" spans="1:21" ht="15.75">
      <c r="A526" s="469">
        <v>512</v>
      </c>
      <c r="B526" s="481" t="s">
        <v>1730</v>
      </c>
      <c r="C526" s="480" t="s">
        <v>1731</v>
      </c>
      <c r="D526" s="470">
        <v>2</v>
      </c>
      <c r="E526" s="819"/>
      <c r="F526" s="472"/>
      <c r="G526" s="470"/>
      <c r="H526" s="470">
        <v>2</v>
      </c>
      <c r="I526" s="470"/>
      <c r="J526" s="470"/>
      <c r="K526" s="694">
        <v>2582000</v>
      </c>
      <c r="L526" s="1007">
        <f t="shared" si="79"/>
        <v>5164000</v>
      </c>
      <c r="M526" s="1007">
        <f t="shared" si="80"/>
        <v>0</v>
      </c>
      <c r="N526" s="1007">
        <f t="shared" si="81"/>
        <v>5164000</v>
      </c>
      <c r="O526" s="1007">
        <f t="shared" si="82"/>
        <v>0</v>
      </c>
      <c r="P526" s="1007">
        <f t="shared" si="83"/>
        <v>0</v>
      </c>
      <c r="Q526" s="1207"/>
      <c r="R526" s="445"/>
      <c r="S526" s="445"/>
      <c r="T526" s="991">
        <f t="shared" si="84"/>
        <v>2</v>
      </c>
      <c r="U526" s="1008"/>
    </row>
    <row r="527" spans="1:21" ht="15.75">
      <c r="A527" s="469">
        <v>513</v>
      </c>
      <c r="B527" s="495" t="s">
        <v>1732</v>
      </c>
      <c r="C527" s="496" t="s">
        <v>1733</v>
      </c>
      <c r="D527" s="470">
        <v>1</v>
      </c>
      <c r="E527" s="819"/>
      <c r="F527" s="472"/>
      <c r="G527" s="470"/>
      <c r="H527" s="470">
        <v>1</v>
      </c>
      <c r="I527" s="470"/>
      <c r="J527" s="470"/>
      <c r="K527" s="694"/>
      <c r="L527" s="1007">
        <f t="shared" si="79"/>
        <v>0</v>
      </c>
      <c r="M527" s="1007">
        <f t="shared" si="80"/>
        <v>0</v>
      </c>
      <c r="N527" s="1007">
        <f t="shared" si="81"/>
        <v>0</v>
      </c>
      <c r="O527" s="1007">
        <f t="shared" si="82"/>
        <v>0</v>
      </c>
      <c r="P527" s="1007">
        <f t="shared" si="83"/>
        <v>0</v>
      </c>
      <c r="Q527" s="1207"/>
      <c r="R527" s="445"/>
      <c r="S527" s="445"/>
      <c r="T527" s="991">
        <f t="shared" si="84"/>
        <v>1</v>
      </c>
      <c r="U527" s="1008"/>
    </row>
    <row r="528" spans="1:21" ht="18.75" customHeight="1">
      <c r="A528" s="1170" t="s">
        <v>1734</v>
      </c>
      <c r="B528" s="1170"/>
      <c r="C528" s="1170"/>
      <c r="D528" s="1170"/>
      <c r="E528" s="1170"/>
      <c r="F528" s="1170"/>
      <c r="G528" s="1170"/>
      <c r="H528" s="1170"/>
      <c r="I528" s="1170"/>
      <c r="J528" s="1170"/>
      <c r="K528" s="1170"/>
      <c r="L528" s="1007">
        <f>SUM(L529)</f>
        <v>44000000</v>
      </c>
      <c r="M528" s="1007">
        <f>SUM(M529)</f>
        <v>0</v>
      </c>
      <c r="N528" s="1007">
        <f>SUM(N529)</f>
        <v>22000000</v>
      </c>
      <c r="O528" s="1007">
        <f>SUM(O529)</f>
        <v>22000000</v>
      </c>
      <c r="P528" s="1007">
        <f>SUM(P529)</f>
        <v>0</v>
      </c>
      <c r="R528" s="445"/>
      <c r="S528" s="445"/>
      <c r="T528" s="991">
        <f t="shared" si="84"/>
        <v>0</v>
      </c>
      <c r="U528" s="1008"/>
    </row>
    <row r="529" spans="1:21" ht="43.5">
      <c r="A529" s="473">
        <v>514</v>
      </c>
      <c r="B529" s="466" t="s">
        <v>1735</v>
      </c>
      <c r="C529" s="466" t="s">
        <v>1736</v>
      </c>
      <c r="D529" s="470">
        <v>4</v>
      </c>
      <c r="E529" s="467" t="s">
        <v>1737</v>
      </c>
      <c r="F529" s="472"/>
      <c r="G529" s="470"/>
      <c r="H529" s="470">
        <v>2</v>
      </c>
      <c r="I529" s="470">
        <v>2</v>
      </c>
      <c r="J529" s="471"/>
      <c r="K529" s="488">
        <v>11000000</v>
      </c>
      <c r="L529" s="1007">
        <f>K529*D529</f>
        <v>44000000</v>
      </c>
      <c r="M529" s="1007">
        <f>K529*G529</f>
        <v>0</v>
      </c>
      <c r="N529" s="1007">
        <f>K529*H529</f>
        <v>22000000</v>
      </c>
      <c r="O529" s="1007">
        <f>K529*I529</f>
        <v>22000000</v>
      </c>
      <c r="P529" s="1007">
        <f>K529*J529</f>
        <v>0</v>
      </c>
      <c r="Q529" s="890" t="s">
        <v>4236</v>
      </c>
      <c r="R529" s="445"/>
      <c r="S529" s="445"/>
      <c r="T529" s="991">
        <f t="shared" si="84"/>
        <v>4</v>
      </c>
      <c r="U529" s="1008"/>
    </row>
    <row r="530" spans="1:21" ht="18.75" customHeight="1">
      <c r="A530" s="1170" t="s">
        <v>1738</v>
      </c>
      <c r="B530" s="1170"/>
      <c r="C530" s="1170"/>
      <c r="D530" s="1170"/>
      <c r="E530" s="1170"/>
      <c r="F530" s="1170"/>
      <c r="G530" s="1170"/>
      <c r="H530" s="1170"/>
      <c r="I530" s="1170"/>
      <c r="J530" s="1170"/>
      <c r="K530" s="1170"/>
      <c r="L530" s="1007"/>
      <c r="M530" s="1007"/>
      <c r="N530" s="1007"/>
      <c r="O530" s="1007"/>
      <c r="P530" s="1007"/>
      <c r="R530" s="445"/>
      <c r="S530" s="445"/>
      <c r="T530" s="991">
        <f t="shared" si="84"/>
        <v>0</v>
      </c>
      <c r="U530" s="1008"/>
    </row>
    <row r="531" spans="1:21" ht="30">
      <c r="A531" s="469">
        <v>515</v>
      </c>
      <c r="B531" s="466" t="s">
        <v>1739</v>
      </c>
      <c r="C531" s="466" t="s">
        <v>1740</v>
      </c>
      <c r="D531" s="470">
        <v>24</v>
      </c>
      <c r="E531" s="819" t="s">
        <v>286</v>
      </c>
      <c r="F531" s="472"/>
      <c r="G531" s="470"/>
      <c r="H531" s="470">
        <v>12</v>
      </c>
      <c r="I531" s="470">
        <v>12</v>
      </c>
      <c r="J531" s="470"/>
      <c r="K531" s="488"/>
      <c r="L531" s="1007" t="s">
        <v>3047</v>
      </c>
      <c r="M531" s="1007" t="s">
        <v>3047</v>
      </c>
      <c r="N531" s="1007" t="s">
        <v>3047</v>
      </c>
      <c r="O531" s="1007" t="s">
        <v>3047</v>
      </c>
      <c r="P531" s="1007" t="s">
        <v>3047</v>
      </c>
      <c r="Q531" s="1206" t="s">
        <v>4235</v>
      </c>
      <c r="R531" s="445"/>
      <c r="S531" s="445"/>
      <c r="T531" s="991">
        <f t="shared" si="84"/>
        <v>24</v>
      </c>
      <c r="U531" s="1008"/>
    </row>
    <row r="532" spans="1:21" ht="30">
      <c r="A532" s="469">
        <v>516</v>
      </c>
      <c r="B532" s="466" t="s">
        <v>1741</v>
      </c>
      <c r="C532" s="466" t="s">
        <v>1742</v>
      </c>
      <c r="D532" s="470">
        <v>36</v>
      </c>
      <c r="E532" s="819" t="s">
        <v>286</v>
      </c>
      <c r="F532" s="472"/>
      <c r="G532" s="470"/>
      <c r="H532" s="470">
        <v>18</v>
      </c>
      <c r="I532" s="470">
        <v>18</v>
      </c>
      <c r="J532" s="470"/>
      <c r="K532" s="488"/>
      <c r="L532" s="1007" t="s">
        <v>3047</v>
      </c>
      <c r="M532" s="1007" t="s">
        <v>3047</v>
      </c>
      <c r="N532" s="1007" t="s">
        <v>3047</v>
      </c>
      <c r="O532" s="1007" t="s">
        <v>3047</v>
      </c>
      <c r="P532" s="1007" t="s">
        <v>3047</v>
      </c>
      <c r="Q532" s="1207"/>
      <c r="R532" s="445"/>
      <c r="S532" s="445"/>
      <c r="T532" s="991">
        <f t="shared" si="84"/>
        <v>36</v>
      </c>
      <c r="U532" s="1008"/>
    </row>
    <row r="533" spans="1:21" ht="30">
      <c r="A533" s="469">
        <v>517</v>
      </c>
      <c r="B533" s="466" t="s">
        <v>1743</v>
      </c>
      <c r="C533" s="466" t="s">
        <v>1744</v>
      </c>
      <c r="D533" s="470">
        <v>1</v>
      </c>
      <c r="E533" s="819" t="s">
        <v>286</v>
      </c>
      <c r="F533" s="472"/>
      <c r="G533" s="470"/>
      <c r="H533" s="470">
        <v>1</v>
      </c>
      <c r="I533" s="470"/>
      <c r="J533" s="470"/>
      <c r="K533" s="488"/>
      <c r="L533" s="1007" t="s">
        <v>3047</v>
      </c>
      <c r="M533" s="1007" t="s">
        <v>3047</v>
      </c>
      <c r="N533" s="1007" t="s">
        <v>3047</v>
      </c>
      <c r="O533" s="1007" t="s">
        <v>3047</v>
      </c>
      <c r="P533" s="1007" t="s">
        <v>3047</v>
      </c>
      <c r="Q533" s="1207"/>
      <c r="R533" s="445"/>
      <c r="S533" s="445"/>
      <c r="T533" s="991">
        <f t="shared" si="84"/>
        <v>1</v>
      </c>
      <c r="U533" s="1008"/>
    </row>
    <row r="534" spans="1:21" ht="30">
      <c r="A534" s="469">
        <v>518</v>
      </c>
      <c r="B534" s="466" t="s">
        <v>1745</v>
      </c>
      <c r="C534" s="466" t="s">
        <v>1746</v>
      </c>
      <c r="D534" s="470">
        <v>1</v>
      </c>
      <c r="E534" s="819" t="s">
        <v>286</v>
      </c>
      <c r="F534" s="472"/>
      <c r="G534" s="470"/>
      <c r="H534" s="470">
        <v>1</v>
      </c>
      <c r="I534" s="470"/>
      <c r="J534" s="470"/>
      <c r="K534" s="488"/>
      <c r="L534" s="1007" t="s">
        <v>3047</v>
      </c>
      <c r="M534" s="1007" t="s">
        <v>3047</v>
      </c>
      <c r="N534" s="1007" t="s">
        <v>3047</v>
      </c>
      <c r="O534" s="1007" t="s">
        <v>3047</v>
      </c>
      <c r="P534" s="1007" t="s">
        <v>3047</v>
      </c>
      <c r="Q534" s="1207"/>
      <c r="R534" s="445"/>
      <c r="S534" s="445"/>
      <c r="T534" s="991">
        <f t="shared" si="84"/>
        <v>1</v>
      </c>
      <c r="U534" s="1008"/>
    </row>
    <row r="535" spans="1:21" ht="15.75">
      <c r="A535" s="469">
        <v>519</v>
      </c>
      <c r="B535" s="466" t="s">
        <v>1747</v>
      </c>
      <c r="C535" s="466" t="s">
        <v>1748</v>
      </c>
      <c r="D535" s="470">
        <v>1</v>
      </c>
      <c r="E535" s="819" t="s">
        <v>286</v>
      </c>
      <c r="F535" s="472"/>
      <c r="G535" s="470"/>
      <c r="H535" s="470">
        <v>1</v>
      </c>
      <c r="I535" s="470"/>
      <c r="J535" s="470"/>
      <c r="K535" s="488"/>
      <c r="L535" s="1007" t="s">
        <v>3047</v>
      </c>
      <c r="M535" s="1007" t="s">
        <v>3047</v>
      </c>
      <c r="N535" s="1007" t="s">
        <v>3047</v>
      </c>
      <c r="O535" s="1007" t="s">
        <v>3047</v>
      </c>
      <c r="P535" s="1007" t="s">
        <v>3047</v>
      </c>
      <c r="Q535" s="1207"/>
      <c r="R535" s="445"/>
      <c r="S535" s="445"/>
      <c r="T535" s="991">
        <f t="shared" si="84"/>
        <v>1</v>
      </c>
      <c r="U535" s="1008"/>
    </row>
    <row r="536" spans="1:21" ht="18.75" customHeight="1">
      <c r="A536" s="1170" t="s">
        <v>1749</v>
      </c>
      <c r="B536" s="1170"/>
      <c r="C536" s="1170"/>
      <c r="D536" s="1170"/>
      <c r="E536" s="1170"/>
      <c r="F536" s="1170"/>
      <c r="G536" s="1170"/>
      <c r="H536" s="1170"/>
      <c r="I536" s="1170"/>
      <c r="J536" s="1170"/>
      <c r="K536" s="1170"/>
      <c r="L536" s="1007">
        <f>SUM(L537:L561)</f>
        <v>899170360</v>
      </c>
      <c r="M536" s="1007">
        <f>SUM(M537:M561)</f>
        <v>0</v>
      </c>
      <c r="N536" s="1007">
        <f>SUM(N537:N561)</f>
        <v>899170360</v>
      </c>
      <c r="O536" s="1007">
        <f>SUM(O537:O561)</f>
        <v>0</v>
      </c>
      <c r="P536" s="1007">
        <f>SUM(P537:P561)</f>
        <v>0</v>
      </c>
      <c r="R536" s="445"/>
      <c r="S536" s="445"/>
      <c r="T536" s="991">
        <f t="shared" si="84"/>
        <v>0</v>
      </c>
      <c r="U536" s="1008"/>
    </row>
    <row r="537" spans="1:21" ht="15.75">
      <c r="A537" s="469">
        <v>520</v>
      </c>
      <c r="B537" s="466" t="s">
        <v>1750</v>
      </c>
      <c r="C537" s="466" t="s">
        <v>1751</v>
      </c>
      <c r="D537" s="470">
        <v>150</v>
      </c>
      <c r="E537" s="819" t="s">
        <v>1752</v>
      </c>
      <c r="F537" s="485"/>
      <c r="G537" s="486"/>
      <c r="H537" s="470">
        <v>150</v>
      </c>
      <c r="I537" s="474"/>
      <c r="J537" s="474"/>
      <c r="K537" s="488">
        <v>252648</v>
      </c>
      <c r="L537" s="1007">
        <f>K537*D537</f>
        <v>37897200</v>
      </c>
      <c r="M537" s="1007">
        <f>K537*G537</f>
        <v>0</v>
      </c>
      <c r="N537" s="1007">
        <f>K537*H537</f>
        <v>37897200</v>
      </c>
      <c r="O537" s="1007" t="s">
        <v>3047</v>
      </c>
      <c r="P537" s="1007" t="s">
        <v>3047</v>
      </c>
      <c r="Q537" s="1204" t="s">
        <v>4227</v>
      </c>
      <c r="R537" s="445"/>
      <c r="S537" s="445"/>
      <c r="T537" s="991">
        <f t="shared" si="84"/>
        <v>150</v>
      </c>
      <c r="U537" s="1008"/>
    </row>
    <row r="538" spans="1:21" ht="15.75">
      <c r="A538" s="469">
        <v>521</v>
      </c>
      <c r="B538" s="466" t="s">
        <v>1750</v>
      </c>
      <c r="C538" s="466" t="s">
        <v>1753</v>
      </c>
      <c r="D538" s="470">
        <v>100</v>
      </c>
      <c r="E538" s="819" t="s">
        <v>1752</v>
      </c>
      <c r="F538" s="485"/>
      <c r="G538" s="486"/>
      <c r="H538" s="470">
        <v>100</v>
      </c>
      <c r="I538" s="474"/>
      <c r="J538" s="474"/>
      <c r="K538" s="488">
        <v>495528</v>
      </c>
      <c r="L538" s="1007">
        <f t="shared" ref="L538:L561" si="85">K538*D538</f>
        <v>49552800</v>
      </c>
      <c r="M538" s="1007">
        <f t="shared" ref="M538:M561" si="86">K538*G538</f>
        <v>0</v>
      </c>
      <c r="N538" s="1007">
        <f t="shared" ref="N538:N561" si="87">K538*H538</f>
        <v>49552800</v>
      </c>
      <c r="O538" s="1007" t="s">
        <v>3047</v>
      </c>
      <c r="P538" s="1007" t="s">
        <v>3047</v>
      </c>
      <c r="Q538" s="1211"/>
      <c r="R538" s="445"/>
      <c r="S538" s="445"/>
      <c r="T538" s="991">
        <f t="shared" si="84"/>
        <v>100</v>
      </c>
      <c r="U538" s="1008"/>
    </row>
    <row r="539" spans="1:21" ht="15.75">
      <c r="A539" s="469">
        <v>522</v>
      </c>
      <c r="B539" s="466" t="s">
        <v>1750</v>
      </c>
      <c r="C539" s="466" t="s">
        <v>1754</v>
      </c>
      <c r="D539" s="470">
        <v>100</v>
      </c>
      <c r="E539" s="819" t="s">
        <v>1752</v>
      </c>
      <c r="F539" s="485"/>
      <c r="G539" s="486"/>
      <c r="H539" s="470">
        <v>100</v>
      </c>
      <c r="I539" s="474"/>
      <c r="J539" s="474"/>
      <c r="K539" s="488">
        <v>396000</v>
      </c>
      <c r="L539" s="1007">
        <f t="shared" si="85"/>
        <v>39600000</v>
      </c>
      <c r="M539" s="1007">
        <f t="shared" si="86"/>
        <v>0</v>
      </c>
      <c r="N539" s="1007">
        <f t="shared" si="87"/>
        <v>39600000</v>
      </c>
      <c r="O539" s="1007" t="s">
        <v>3047</v>
      </c>
      <c r="P539" s="1007" t="s">
        <v>3047</v>
      </c>
      <c r="Q539" s="1211"/>
      <c r="R539" s="445"/>
      <c r="S539" s="445"/>
      <c r="T539" s="991">
        <f t="shared" si="84"/>
        <v>100</v>
      </c>
      <c r="U539" s="1008"/>
    </row>
    <row r="540" spans="1:21" ht="15.75">
      <c r="A540" s="469">
        <v>523</v>
      </c>
      <c r="B540" s="466" t="s">
        <v>1750</v>
      </c>
      <c r="C540" s="466" t="s">
        <v>1755</v>
      </c>
      <c r="D540" s="470">
        <v>1000</v>
      </c>
      <c r="E540" s="819" t="s">
        <v>1752</v>
      </c>
      <c r="F540" s="485"/>
      <c r="G540" s="486"/>
      <c r="H540" s="470">
        <v>1000</v>
      </c>
      <c r="I540" s="474"/>
      <c r="J540" s="474"/>
      <c r="K540" s="488">
        <v>165528</v>
      </c>
      <c r="L540" s="1007">
        <f t="shared" si="85"/>
        <v>165528000</v>
      </c>
      <c r="M540" s="1007">
        <f t="shared" si="86"/>
        <v>0</v>
      </c>
      <c r="N540" s="1007">
        <f t="shared" si="87"/>
        <v>165528000</v>
      </c>
      <c r="O540" s="1007" t="s">
        <v>3047</v>
      </c>
      <c r="P540" s="1007" t="s">
        <v>3047</v>
      </c>
      <c r="Q540" s="1211"/>
      <c r="R540" s="445"/>
      <c r="S540" s="445"/>
      <c r="T540" s="991">
        <f t="shared" si="84"/>
        <v>1000</v>
      </c>
      <c r="U540" s="1008"/>
    </row>
    <row r="541" spans="1:21" ht="15.75">
      <c r="A541" s="469">
        <v>524</v>
      </c>
      <c r="B541" s="466" t="s">
        <v>1750</v>
      </c>
      <c r="C541" s="466" t="s">
        <v>1756</v>
      </c>
      <c r="D541" s="470">
        <v>400</v>
      </c>
      <c r="E541" s="819" t="s">
        <v>1752</v>
      </c>
      <c r="F541" s="485"/>
      <c r="G541" s="486"/>
      <c r="H541" s="470">
        <v>400</v>
      </c>
      <c r="I541" s="474"/>
      <c r="J541" s="474"/>
      <c r="K541" s="488">
        <v>267960</v>
      </c>
      <c r="L541" s="1007">
        <f t="shared" si="85"/>
        <v>107184000</v>
      </c>
      <c r="M541" s="1007">
        <f t="shared" si="86"/>
        <v>0</v>
      </c>
      <c r="N541" s="1007">
        <f t="shared" si="87"/>
        <v>107184000</v>
      </c>
      <c r="O541" s="1007" t="s">
        <v>3047</v>
      </c>
      <c r="P541" s="1007" t="s">
        <v>3047</v>
      </c>
      <c r="Q541" s="1211"/>
      <c r="R541" s="445"/>
      <c r="S541" s="445"/>
      <c r="T541" s="991">
        <f t="shared" si="84"/>
        <v>400</v>
      </c>
      <c r="U541" s="1008"/>
    </row>
    <row r="542" spans="1:21" ht="15.75">
      <c r="A542" s="469">
        <v>525</v>
      </c>
      <c r="B542" s="466" t="s">
        <v>1750</v>
      </c>
      <c r="C542" s="466" t="s">
        <v>1757</v>
      </c>
      <c r="D542" s="470">
        <v>300</v>
      </c>
      <c r="E542" s="819" t="s">
        <v>1752</v>
      </c>
      <c r="F542" s="485"/>
      <c r="G542" s="486"/>
      <c r="H542" s="470">
        <v>300</v>
      </c>
      <c r="I542" s="474"/>
      <c r="J542" s="474"/>
      <c r="K542" s="488">
        <v>91608</v>
      </c>
      <c r="L542" s="1007">
        <f t="shared" si="85"/>
        <v>27482400</v>
      </c>
      <c r="M542" s="1007">
        <f t="shared" si="86"/>
        <v>0</v>
      </c>
      <c r="N542" s="1007">
        <f t="shared" si="87"/>
        <v>27482400</v>
      </c>
      <c r="O542" s="1007" t="s">
        <v>3047</v>
      </c>
      <c r="P542" s="1007" t="s">
        <v>3047</v>
      </c>
      <c r="Q542" s="1211"/>
      <c r="R542" s="445"/>
      <c r="S542" s="445"/>
      <c r="T542" s="991">
        <f t="shared" si="84"/>
        <v>300</v>
      </c>
      <c r="U542" s="1008"/>
    </row>
    <row r="543" spans="1:21" ht="15.75">
      <c r="A543" s="469">
        <v>526</v>
      </c>
      <c r="B543" s="466" t="s">
        <v>1750</v>
      </c>
      <c r="C543" s="466" t="s">
        <v>1758</v>
      </c>
      <c r="D543" s="470">
        <v>400</v>
      </c>
      <c r="E543" s="819" t="s">
        <v>1752</v>
      </c>
      <c r="F543" s="485"/>
      <c r="G543" s="486"/>
      <c r="H543" s="470">
        <v>400</v>
      </c>
      <c r="I543" s="474"/>
      <c r="J543" s="474"/>
      <c r="K543" s="488">
        <v>228888</v>
      </c>
      <c r="L543" s="1007">
        <f t="shared" si="85"/>
        <v>91555200</v>
      </c>
      <c r="M543" s="1007">
        <f t="shared" si="86"/>
        <v>0</v>
      </c>
      <c r="N543" s="1007">
        <f t="shared" si="87"/>
        <v>91555200</v>
      </c>
      <c r="O543" s="1007" t="s">
        <v>3047</v>
      </c>
      <c r="P543" s="1007" t="s">
        <v>3047</v>
      </c>
      <c r="Q543" s="1211"/>
      <c r="R543" s="445"/>
      <c r="S543" s="445"/>
      <c r="T543" s="991">
        <f t="shared" si="84"/>
        <v>400</v>
      </c>
      <c r="U543" s="1008"/>
    </row>
    <row r="544" spans="1:21" ht="15.75">
      <c r="A544" s="469">
        <v>527</v>
      </c>
      <c r="B544" s="466" t="s">
        <v>1750</v>
      </c>
      <c r="C544" s="466" t="s">
        <v>1759</v>
      </c>
      <c r="D544" s="470">
        <v>300</v>
      </c>
      <c r="E544" s="819" t="s">
        <v>1752</v>
      </c>
      <c r="F544" s="485"/>
      <c r="G544" s="486"/>
      <c r="H544" s="470">
        <v>300</v>
      </c>
      <c r="I544" s="474"/>
      <c r="J544" s="474"/>
      <c r="K544" s="488">
        <v>63360</v>
      </c>
      <c r="L544" s="1007">
        <f t="shared" si="85"/>
        <v>19008000</v>
      </c>
      <c r="M544" s="1007">
        <f t="shared" si="86"/>
        <v>0</v>
      </c>
      <c r="N544" s="1007">
        <f t="shared" si="87"/>
        <v>19008000</v>
      </c>
      <c r="O544" s="1007" t="s">
        <v>3047</v>
      </c>
      <c r="P544" s="1007" t="s">
        <v>3047</v>
      </c>
      <c r="Q544" s="1211"/>
      <c r="R544" s="445"/>
      <c r="S544" s="445"/>
      <c r="T544" s="991">
        <f t="shared" si="84"/>
        <v>300</v>
      </c>
      <c r="U544" s="1008"/>
    </row>
    <row r="545" spans="1:21" ht="15.75">
      <c r="A545" s="469">
        <v>528</v>
      </c>
      <c r="B545" s="466" t="s">
        <v>1750</v>
      </c>
      <c r="C545" s="466" t="s">
        <v>1760</v>
      </c>
      <c r="D545" s="470">
        <v>300</v>
      </c>
      <c r="E545" s="819" t="s">
        <v>1752</v>
      </c>
      <c r="F545" s="485"/>
      <c r="G545" s="486"/>
      <c r="H545" s="470">
        <v>300</v>
      </c>
      <c r="I545" s="474"/>
      <c r="J545" s="474"/>
      <c r="K545" s="488">
        <v>71280</v>
      </c>
      <c r="L545" s="1007">
        <f t="shared" si="85"/>
        <v>21384000</v>
      </c>
      <c r="M545" s="1007">
        <f t="shared" si="86"/>
        <v>0</v>
      </c>
      <c r="N545" s="1007">
        <f t="shared" si="87"/>
        <v>21384000</v>
      </c>
      <c r="O545" s="1007" t="s">
        <v>3047</v>
      </c>
      <c r="P545" s="1007" t="s">
        <v>3047</v>
      </c>
      <c r="Q545" s="1211"/>
      <c r="R545" s="445"/>
      <c r="S545" s="445"/>
      <c r="T545" s="991">
        <f t="shared" si="84"/>
        <v>300</v>
      </c>
      <c r="U545" s="1008"/>
    </row>
    <row r="546" spans="1:21" ht="15.75">
      <c r="A546" s="469">
        <v>529</v>
      </c>
      <c r="B546" s="466" t="s">
        <v>1750</v>
      </c>
      <c r="C546" s="466" t="s">
        <v>1761</v>
      </c>
      <c r="D546" s="470">
        <v>500</v>
      </c>
      <c r="E546" s="819" t="s">
        <v>1752</v>
      </c>
      <c r="F546" s="485"/>
      <c r="G546" s="486"/>
      <c r="H546" s="470">
        <v>500</v>
      </c>
      <c r="I546" s="474"/>
      <c r="J546" s="474"/>
      <c r="K546" s="488">
        <v>66000</v>
      </c>
      <c r="L546" s="1007">
        <f t="shared" si="85"/>
        <v>33000000</v>
      </c>
      <c r="M546" s="1007">
        <f t="shared" si="86"/>
        <v>0</v>
      </c>
      <c r="N546" s="1007">
        <f t="shared" si="87"/>
        <v>33000000</v>
      </c>
      <c r="O546" s="1007" t="s">
        <v>3047</v>
      </c>
      <c r="P546" s="1007" t="s">
        <v>3047</v>
      </c>
      <c r="Q546" s="1211"/>
      <c r="R546" s="445"/>
      <c r="S546" s="445"/>
      <c r="T546" s="991">
        <f t="shared" si="84"/>
        <v>500</v>
      </c>
      <c r="U546" s="1008"/>
    </row>
    <row r="547" spans="1:21" ht="15.75">
      <c r="A547" s="469">
        <v>530</v>
      </c>
      <c r="B547" s="466" t="s">
        <v>1750</v>
      </c>
      <c r="C547" s="466" t="s">
        <v>1762</v>
      </c>
      <c r="D547" s="470">
        <v>300</v>
      </c>
      <c r="E547" s="819" t="s">
        <v>1752</v>
      </c>
      <c r="F547" s="485"/>
      <c r="G547" s="486"/>
      <c r="H547" s="470">
        <v>300</v>
      </c>
      <c r="I547" s="474"/>
      <c r="J547" s="474"/>
      <c r="K547" s="488">
        <v>46992</v>
      </c>
      <c r="L547" s="1007">
        <f t="shared" si="85"/>
        <v>14097600</v>
      </c>
      <c r="M547" s="1007">
        <f t="shared" si="86"/>
        <v>0</v>
      </c>
      <c r="N547" s="1007">
        <f t="shared" si="87"/>
        <v>14097600</v>
      </c>
      <c r="O547" s="1007" t="s">
        <v>3047</v>
      </c>
      <c r="P547" s="1007" t="s">
        <v>3047</v>
      </c>
      <c r="Q547" s="1211"/>
      <c r="R547" s="445"/>
      <c r="S547" s="445"/>
      <c r="T547" s="991">
        <f t="shared" ref="T547:T610" si="88">G547+H547+I547+J547-S547</f>
        <v>300</v>
      </c>
      <c r="U547" s="1008"/>
    </row>
    <row r="548" spans="1:21" ht="15.75">
      <c r="A548" s="469">
        <v>531</v>
      </c>
      <c r="B548" s="466" t="s">
        <v>1763</v>
      </c>
      <c r="C548" s="466" t="s">
        <v>1764</v>
      </c>
      <c r="D548" s="470">
        <v>500</v>
      </c>
      <c r="E548" s="819" t="s">
        <v>1752</v>
      </c>
      <c r="F548" s="485"/>
      <c r="G548" s="486"/>
      <c r="H548" s="470">
        <v>500</v>
      </c>
      <c r="I548" s="474"/>
      <c r="J548" s="474"/>
      <c r="K548" s="488">
        <v>341616</v>
      </c>
      <c r="L548" s="1007">
        <f t="shared" si="85"/>
        <v>170808000</v>
      </c>
      <c r="M548" s="1007">
        <f t="shared" si="86"/>
        <v>0</v>
      </c>
      <c r="N548" s="1007">
        <f t="shared" si="87"/>
        <v>170808000</v>
      </c>
      <c r="O548" s="1007" t="s">
        <v>3047</v>
      </c>
      <c r="P548" s="1007" t="s">
        <v>3047</v>
      </c>
      <c r="Q548" s="1211"/>
      <c r="R548" s="445"/>
      <c r="S548" s="445"/>
      <c r="T548" s="991">
        <f t="shared" si="88"/>
        <v>500</v>
      </c>
      <c r="U548" s="1008"/>
    </row>
    <row r="549" spans="1:21" ht="15.75">
      <c r="A549" s="469">
        <v>532</v>
      </c>
      <c r="B549" s="466" t="s">
        <v>1763</v>
      </c>
      <c r="C549" s="466" t="s">
        <v>1765</v>
      </c>
      <c r="D549" s="470">
        <v>70</v>
      </c>
      <c r="E549" s="819" t="s">
        <v>1752</v>
      </c>
      <c r="F549" s="485"/>
      <c r="G549" s="486"/>
      <c r="H549" s="470">
        <v>70</v>
      </c>
      <c r="I549" s="474"/>
      <c r="J549" s="474"/>
      <c r="K549" s="488">
        <v>277728</v>
      </c>
      <c r="L549" s="1007">
        <f t="shared" si="85"/>
        <v>19440960</v>
      </c>
      <c r="M549" s="1007">
        <f t="shared" si="86"/>
        <v>0</v>
      </c>
      <c r="N549" s="1007">
        <f t="shared" si="87"/>
        <v>19440960</v>
      </c>
      <c r="O549" s="1007" t="s">
        <v>3047</v>
      </c>
      <c r="P549" s="1007" t="s">
        <v>3047</v>
      </c>
      <c r="Q549" s="1211"/>
      <c r="R549" s="445"/>
      <c r="S549" s="445"/>
      <c r="T549" s="991">
        <f t="shared" si="88"/>
        <v>70</v>
      </c>
      <c r="U549" s="1008"/>
    </row>
    <row r="550" spans="1:21" ht="15.75">
      <c r="A550" s="469">
        <v>533</v>
      </c>
      <c r="B550" s="466" t="s">
        <v>1763</v>
      </c>
      <c r="C550" s="466" t="s">
        <v>1766</v>
      </c>
      <c r="D550" s="470">
        <v>50</v>
      </c>
      <c r="E550" s="819" t="s">
        <v>1752</v>
      </c>
      <c r="F550" s="485"/>
      <c r="G550" s="486"/>
      <c r="H550" s="470">
        <v>50</v>
      </c>
      <c r="I550" s="474"/>
      <c r="J550" s="474"/>
      <c r="K550" s="488">
        <v>215160</v>
      </c>
      <c r="L550" s="1007">
        <f t="shared" si="85"/>
        <v>10758000</v>
      </c>
      <c r="M550" s="1007">
        <f t="shared" si="86"/>
        <v>0</v>
      </c>
      <c r="N550" s="1007">
        <f t="shared" si="87"/>
        <v>10758000</v>
      </c>
      <c r="O550" s="1007" t="s">
        <v>3047</v>
      </c>
      <c r="P550" s="1007" t="s">
        <v>3047</v>
      </c>
      <c r="Q550" s="1211"/>
      <c r="R550" s="445"/>
      <c r="S550" s="445"/>
      <c r="T550" s="991">
        <f t="shared" si="88"/>
        <v>50</v>
      </c>
      <c r="U550" s="1008"/>
    </row>
    <row r="551" spans="1:21" ht="15.75">
      <c r="A551" s="469">
        <v>534</v>
      </c>
      <c r="B551" s="466" t="s">
        <v>1763</v>
      </c>
      <c r="C551" s="466" t="s">
        <v>1767</v>
      </c>
      <c r="D551" s="470">
        <v>50</v>
      </c>
      <c r="E551" s="819" t="s">
        <v>1752</v>
      </c>
      <c r="F551" s="485"/>
      <c r="G551" s="486"/>
      <c r="H551" s="470">
        <v>50</v>
      </c>
      <c r="I551" s="474"/>
      <c r="J551" s="474"/>
      <c r="K551" s="488">
        <v>171600</v>
      </c>
      <c r="L551" s="1007">
        <f t="shared" si="85"/>
        <v>8580000</v>
      </c>
      <c r="M551" s="1007">
        <f t="shared" si="86"/>
        <v>0</v>
      </c>
      <c r="N551" s="1007">
        <f t="shared" si="87"/>
        <v>8580000</v>
      </c>
      <c r="O551" s="1007" t="s">
        <v>3047</v>
      </c>
      <c r="P551" s="1007" t="s">
        <v>3047</v>
      </c>
      <c r="Q551" s="1211"/>
      <c r="R551" s="445"/>
      <c r="S551" s="445"/>
      <c r="T551" s="991">
        <f t="shared" si="88"/>
        <v>50</v>
      </c>
      <c r="U551" s="1008"/>
    </row>
    <row r="552" spans="1:21" ht="15.75">
      <c r="A552" s="469">
        <v>535</v>
      </c>
      <c r="B552" s="466" t="s">
        <v>1768</v>
      </c>
      <c r="C552" s="466" t="s">
        <v>1767</v>
      </c>
      <c r="D552" s="470">
        <v>500</v>
      </c>
      <c r="E552" s="819" t="s">
        <v>1314</v>
      </c>
      <c r="F552" s="485"/>
      <c r="G552" s="486"/>
      <c r="H552" s="470">
        <v>500</v>
      </c>
      <c r="I552" s="474"/>
      <c r="J552" s="474"/>
      <c r="K552" s="488">
        <v>69850</v>
      </c>
      <c r="L552" s="1007">
        <f t="shared" si="85"/>
        <v>34925000</v>
      </c>
      <c r="M552" s="1007">
        <f t="shared" si="86"/>
        <v>0</v>
      </c>
      <c r="N552" s="1007">
        <f t="shared" si="87"/>
        <v>34925000</v>
      </c>
      <c r="O552" s="1007" t="s">
        <v>3047</v>
      </c>
      <c r="P552" s="1007" t="s">
        <v>3047</v>
      </c>
      <c r="Q552" s="1211"/>
      <c r="R552" s="445"/>
      <c r="S552" s="445"/>
      <c r="T552" s="991">
        <f t="shared" si="88"/>
        <v>500</v>
      </c>
      <c r="U552" s="1008"/>
    </row>
    <row r="553" spans="1:21" ht="15.75">
      <c r="A553" s="469">
        <v>536</v>
      </c>
      <c r="B553" s="466" t="s">
        <v>1768</v>
      </c>
      <c r="C553" s="466" t="s">
        <v>1769</v>
      </c>
      <c r="D553" s="470">
        <v>400</v>
      </c>
      <c r="E553" s="819" t="s">
        <v>1314</v>
      </c>
      <c r="F553" s="485"/>
      <c r="G553" s="486"/>
      <c r="H553" s="470">
        <v>400</v>
      </c>
      <c r="I553" s="474"/>
      <c r="J553" s="474"/>
      <c r="K553" s="488">
        <v>18150</v>
      </c>
      <c r="L553" s="1007">
        <f t="shared" si="85"/>
        <v>7260000</v>
      </c>
      <c r="M553" s="1007">
        <f t="shared" si="86"/>
        <v>0</v>
      </c>
      <c r="N553" s="1007">
        <f t="shared" si="87"/>
        <v>7260000</v>
      </c>
      <c r="O553" s="1007" t="s">
        <v>3047</v>
      </c>
      <c r="P553" s="1007" t="s">
        <v>3047</v>
      </c>
      <c r="Q553" s="1211"/>
      <c r="R553" s="445"/>
      <c r="S553" s="445"/>
      <c r="T553" s="991">
        <f t="shared" si="88"/>
        <v>400</v>
      </c>
      <c r="U553" s="1008"/>
    </row>
    <row r="554" spans="1:21" ht="15.75">
      <c r="A554" s="469">
        <v>537</v>
      </c>
      <c r="B554" s="466" t="s">
        <v>1768</v>
      </c>
      <c r="C554" s="466" t="s">
        <v>1770</v>
      </c>
      <c r="D554" s="470">
        <v>400</v>
      </c>
      <c r="E554" s="819" t="s">
        <v>1314</v>
      </c>
      <c r="F554" s="485"/>
      <c r="G554" s="486"/>
      <c r="H554" s="470">
        <v>400</v>
      </c>
      <c r="I554" s="474"/>
      <c r="J554" s="474"/>
      <c r="K554" s="488">
        <v>12485</v>
      </c>
      <c r="L554" s="1007">
        <f t="shared" si="85"/>
        <v>4994000</v>
      </c>
      <c r="M554" s="1007">
        <f t="shared" si="86"/>
        <v>0</v>
      </c>
      <c r="N554" s="1007">
        <f t="shared" si="87"/>
        <v>4994000</v>
      </c>
      <c r="O554" s="1007" t="s">
        <v>3047</v>
      </c>
      <c r="P554" s="1007" t="s">
        <v>3047</v>
      </c>
      <c r="Q554" s="1211"/>
      <c r="R554" s="445"/>
      <c r="S554" s="445"/>
      <c r="T554" s="991">
        <f t="shared" si="88"/>
        <v>400</v>
      </c>
      <c r="U554" s="1008"/>
    </row>
    <row r="555" spans="1:21" ht="15.75">
      <c r="A555" s="469">
        <v>538</v>
      </c>
      <c r="B555" s="466" t="s">
        <v>1768</v>
      </c>
      <c r="C555" s="466" t="s">
        <v>1771</v>
      </c>
      <c r="D555" s="470">
        <v>400</v>
      </c>
      <c r="E555" s="819" t="s">
        <v>1314</v>
      </c>
      <c r="F555" s="485"/>
      <c r="G555" s="486"/>
      <c r="H555" s="470">
        <v>400</v>
      </c>
      <c r="I555" s="474"/>
      <c r="J555" s="474"/>
      <c r="K555" s="488">
        <v>7315</v>
      </c>
      <c r="L555" s="1007">
        <f t="shared" si="85"/>
        <v>2926000</v>
      </c>
      <c r="M555" s="1007">
        <f t="shared" si="86"/>
        <v>0</v>
      </c>
      <c r="N555" s="1007">
        <f t="shared" si="87"/>
        <v>2926000</v>
      </c>
      <c r="O555" s="1007" t="s">
        <v>3047</v>
      </c>
      <c r="P555" s="1007" t="s">
        <v>3047</v>
      </c>
      <c r="Q555" s="1211"/>
      <c r="R555" s="445"/>
      <c r="S555" s="445"/>
      <c r="T555" s="991">
        <f t="shared" si="88"/>
        <v>400</v>
      </c>
      <c r="U555" s="1008"/>
    </row>
    <row r="556" spans="1:21" ht="15.75">
      <c r="A556" s="469">
        <v>539</v>
      </c>
      <c r="B556" s="466" t="s">
        <v>1768</v>
      </c>
      <c r="C556" s="466" t="s">
        <v>1772</v>
      </c>
      <c r="D556" s="470">
        <v>300</v>
      </c>
      <c r="E556" s="819" t="s">
        <v>1314</v>
      </c>
      <c r="F556" s="485"/>
      <c r="G556" s="486"/>
      <c r="H556" s="470">
        <v>300</v>
      </c>
      <c r="I556" s="474"/>
      <c r="J556" s="474"/>
      <c r="K556" s="488">
        <v>6248</v>
      </c>
      <c r="L556" s="1007">
        <f t="shared" si="85"/>
        <v>1874400</v>
      </c>
      <c r="M556" s="1007">
        <f t="shared" si="86"/>
        <v>0</v>
      </c>
      <c r="N556" s="1007">
        <f t="shared" si="87"/>
        <v>1874400</v>
      </c>
      <c r="O556" s="1007" t="s">
        <v>3047</v>
      </c>
      <c r="P556" s="1007" t="s">
        <v>3047</v>
      </c>
      <c r="Q556" s="1211"/>
      <c r="R556" s="445"/>
      <c r="S556" s="445"/>
      <c r="T556" s="991">
        <f t="shared" si="88"/>
        <v>300</v>
      </c>
      <c r="U556" s="1008"/>
    </row>
    <row r="557" spans="1:21" ht="15.75">
      <c r="A557" s="469">
        <v>540</v>
      </c>
      <c r="B557" s="466" t="s">
        <v>1773</v>
      </c>
      <c r="C557" s="466" t="s">
        <v>1767</v>
      </c>
      <c r="D557" s="470">
        <v>200</v>
      </c>
      <c r="E557" s="819" t="s">
        <v>1314</v>
      </c>
      <c r="F557" s="485"/>
      <c r="G557" s="486"/>
      <c r="H557" s="470">
        <v>200</v>
      </c>
      <c r="I557" s="474"/>
      <c r="J557" s="474"/>
      <c r="K557" s="488">
        <v>80080</v>
      </c>
      <c r="L557" s="1007">
        <f t="shared" si="85"/>
        <v>16016000</v>
      </c>
      <c r="M557" s="1007">
        <f t="shared" si="86"/>
        <v>0</v>
      </c>
      <c r="N557" s="1007">
        <f t="shared" si="87"/>
        <v>16016000</v>
      </c>
      <c r="O557" s="1007" t="s">
        <v>3047</v>
      </c>
      <c r="P557" s="1007" t="s">
        <v>3047</v>
      </c>
      <c r="Q557" s="1211"/>
      <c r="R557" s="445"/>
      <c r="S557" s="445"/>
      <c r="T557" s="991">
        <f t="shared" si="88"/>
        <v>200</v>
      </c>
      <c r="U557" s="1008"/>
    </row>
    <row r="558" spans="1:21" ht="15.75">
      <c r="A558" s="469">
        <v>541</v>
      </c>
      <c r="B558" s="466" t="s">
        <v>1773</v>
      </c>
      <c r="C558" s="466" t="s">
        <v>1769</v>
      </c>
      <c r="D558" s="470">
        <v>100</v>
      </c>
      <c r="E558" s="819" t="s">
        <v>1314</v>
      </c>
      <c r="F558" s="485"/>
      <c r="G558" s="486"/>
      <c r="H558" s="470">
        <v>100</v>
      </c>
      <c r="I558" s="474"/>
      <c r="J558" s="474"/>
      <c r="K558" s="488">
        <v>45760</v>
      </c>
      <c r="L558" s="1007">
        <f t="shared" si="85"/>
        <v>4576000</v>
      </c>
      <c r="M558" s="1007">
        <f t="shared" si="86"/>
        <v>0</v>
      </c>
      <c r="N558" s="1007">
        <f t="shared" si="87"/>
        <v>4576000</v>
      </c>
      <c r="O558" s="1007" t="s">
        <v>3047</v>
      </c>
      <c r="P558" s="1007" t="s">
        <v>3047</v>
      </c>
      <c r="Q558" s="1211"/>
      <c r="R558" s="445"/>
      <c r="S558" s="445"/>
      <c r="T558" s="991">
        <f t="shared" si="88"/>
        <v>100</v>
      </c>
      <c r="U558" s="1008"/>
    </row>
    <row r="559" spans="1:21" ht="15.75">
      <c r="A559" s="469">
        <v>542</v>
      </c>
      <c r="B559" s="466" t="s">
        <v>1773</v>
      </c>
      <c r="C559" s="466" t="s">
        <v>1770</v>
      </c>
      <c r="D559" s="470">
        <v>200</v>
      </c>
      <c r="E559" s="819" t="s">
        <v>1314</v>
      </c>
      <c r="F559" s="485"/>
      <c r="G559" s="486"/>
      <c r="H559" s="470">
        <v>200</v>
      </c>
      <c r="I559" s="474"/>
      <c r="J559" s="474"/>
      <c r="K559" s="488">
        <v>30250</v>
      </c>
      <c r="L559" s="1007">
        <f t="shared" si="85"/>
        <v>6050000</v>
      </c>
      <c r="M559" s="1007">
        <f t="shared" si="86"/>
        <v>0</v>
      </c>
      <c r="N559" s="1007">
        <f t="shared" si="87"/>
        <v>6050000</v>
      </c>
      <c r="O559" s="1007" t="s">
        <v>3047</v>
      </c>
      <c r="P559" s="1007" t="s">
        <v>3047</v>
      </c>
      <c r="Q559" s="1211"/>
      <c r="R559" s="445"/>
      <c r="S559" s="445"/>
      <c r="T559" s="991">
        <f t="shared" si="88"/>
        <v>200</v>
      </c>
      <c r="U559" s="1008"/>
    </row>
    <row r="560" spans="1:21" ht="15.75">
      <c r="A560" s="469">
        <v>543</v>
      </c>
      <c r="B560" s="466" t="s">
        <v>1773</v>
      </c>
      <c r="C560" s="466" t="s">
        <v>1771</v>
      </c>
      <c r="D560" s="470">
        <v>200</v>
      </c>
      <c r="E560" s="819" t="s">
        <v>1314</v>
      </c>
      <c r="F560" s="485"/>
      <c r="G560" s="486"/>
      <c r="H560" s="470">
        <v>200</v>
      </c>
      <c r="I560" s="474"/>
      <c r="J560" s="474"/>
      <c r="K560" s="488">
        <v>16995</v>
      </c>
      <c r="L560" s="1007">
        <f t="shared" si="85"/>
        <v>3399000</v>
      </c>
      <c r="M560" s="1007">
        <f t="shared" si="86"/>
        <v>0</v>
      </c>
      <c r="N560" s="1007">
        <f t="shared" si="87"/>
        <v>3399000</v>
      </c>
      <c r="O560" s="1007" t="s">
        <v>3047</v>
      </c>
      <c r="P560" s="1007" t="s">
        <v>3047</v>
      </c>
      <c r="Q560" s="1211"/>
      <c r="R560" s="445"/>
      <c r="S560" s="445"/>
      <c r="T560" s="991">
        <f t="shared" si="88"/>
        <v>200</v>
      </c>
      <c r="U560" s="1008"/>
    </row>
    <row r="561" spans="1:21" ht="15.75">
      <c r="A561" s="469">
        <v>544</v>
      </c>
      <c r="B561" s="466" t="s">
        <v>1773</v>
      </c>
      <c r="C561" s="466" t="s">
        <v>1772</v>
      </c>
      <c r="D561" s="470">
        <v>100</v>
      </c>
      <c r="E561" s="819" t="s">
        <v>1752</v>
      </c>
      <c r="F561" s="485"/>
      <c r="G561" s="486"/>
      <c r="H561" s="470">
        <v>100</v>
      </c>
      <c r="I561" s="474"/>
      <c r="J561" s="474"/>
      <c r="K561" s="488">
        <v>12738</v>
      </c>
      <c r="L561" s="1007">
        <f t="shared" si="85"/>
        <v>1273800</v>
      </c>
      <c r="M561" s="1007">
        <f t="shared" si="86"/>
        <v>0</v>
      </c>
      <c r="N561" s="1007">
        <f t="shared" si="87"/>
        <v>1273800</v>
      </c>
      <c r="O561" s="1007" t="s">
        <v>3047</v>
      </c>
      <c r="P561" s="1007" t="s">
        <v>3047</v>
      </c>
      <c r="Q561" s="1211"/>
      <c r="R561" s="445"/>
      <c r="S561" s="445"/>
      <c r="T561" s="991">
        <f t="shared" si="88"/>
        <v>100</v>
      </c>
      <c r="U561" s="1008"/>
    </row>
    <row r="562" spans="1:21" ht="18.75" customHeight="1">
      <c r="A562" s="1170" t="s">
        <v>596</v>
      </c>
      <c r="B562" s="1170"/>
      <c r="C562" s="1170"/>
      <c r="D562" s="1170"/>
      <c r="E562" s="1170"/>
      <c r="F562" s="1170"/>
      <c r="G562" s="1170"/>
      <c r="H562" s="1170"/>
      <c r="I562" s="1170"/>
      <c r="J562" s="1170"/>
      <c r="K562" s="1170"/>
      <c r="L562" s="1007">
        <f>SUM(L563:L564)</f>
        <v>132870000</v>
      </c>
      <c r="M562" s="1007">
        <f>SUM(M563:M564)</f>
        <v>0</v>
      </c>
      <c r="N562" s="1007">
        <f>SUM(N563:N564)</f>
        <v>81450000</v>
      </c>
      <c r="O562" s="1007">
        <f>SUM(O563:O564)</f>
        <v>51420000</v>
      </c>
      <c r="P562" s="1007">
        <f>SUM(P563:P564)</f>
        <v>0</v>
      </c>
      <c r="R562" s="445"/>
      <c r="S562" s="445"/>
      <c r="T562" s="991">
        <f t="shared" si="88"/>
        <v>0</v>
      </c>
      <c r="U562" s="1008"/>
    </row>
    <row r="563" spans="1:21" ht="180">
      <c r="A563" s="467">
        <v>545</v>
      </c>
      <c r="B563" s="467" t="s">
        <v>2058</v>
      </c>
      <c r="C563" s="467" t="s">
        <v>2059</v>
      </c>
      <c r="D563" s="465">
        <v>31</v>
      </c>
      <c r="E563" s="465" t="s">
        <v>286</v>
      </c>
      <c r="F563" s="819" t="s">
        <v>2060</v>
      </c>
      <c r="G563" s="465"/>
      <c r="H563" s="465">
        <v>21</v>
      </c>
      <c r="I563" s="465">
        <v>10</v>
      </c>
      <c r="J563" s="465"/>
      <c r="K563" s="488">
        <v>2730000</v>
      </c>
      <c r="L563" s="1007">
        <f>K563*D563</f>
        <v>84630000</v>
      </c>
      <c r="M563" s="1007">
        <f>K563*G563</f>
        <v>0</v>
      </c>
      <c r="N563" s="1007">
        <f>K563*H563</f>
        <v>57330000</v>
      </c>
      <c r="O563" s="1007">
        <f>K563*I563</f>
        <v>27300000</v>
      </c>
      <c r="P563" s="1007">
        <f>K563*J563</f>
        <v>0</v>
      </c>
      <c r="Q563" s="1204" t="s">
        <v>4227</v>
      </c>
      <c r="R563" s="445"/>
      <c r="S563" s="445"/>
      <c r="T563" s="991">
        <f t="shared" si="88"/>
        <v>31</v>
      </c>
      <c r="U563" s="1008"/>
    </row>
    <row r="564" spans="1:21" ht="135">
      <c r="A564" s="467">
        <v>546</v>
      </c>
      <c r="B564" s="467" t="s">
        <v>2058</v>
      </c>
      <c r="C564" s="467" t="s">
        <v>2061</v>
      </c>
      <c r="D564" s="465">
        <v>24</v>
      </c>
      <c r="E564" s="465" t="s">
        <v>286</v>
      </c>
      <c r="F564" s="819" t="s">
        <v>2062</v>
      </c>
      <c r="G564" s="465"/>
      <c r="H564" s="465">
        <v>12</v>
      </c>
      <c r="I564" s="465">
        <v>12</v>
      </c>
      <c r="J564" s="465"/>
      <c r="K564" s="488">
        <v>2010000</v>
      </c>
      <c r="L564" s="1007">
        <f>K564*D564</f>
        <v>48240000</v>
      </c>
      <c r="M564" s="1007">
        <f>K564*G564</f>
        <v>0</v>
      </c>
      <c r="N564" s="1007">
        <f>K564*H564</f>
        <v>24120000</v>
      </c>
      <c r="O564" s="1007">
        <f>K564*I564</f>
        <v>24120000</v>
      </c>
      <c r="P564" s="1007" t="s">
        <v>3047</v>
      </c>
      <c r="Q564" s="1211"/>
      <c r="R564" s="445"/>
      <c r="S564" s="445"/>
      <c r="T564" s="991">
        <f t="shared" si="88"/>
        <v>24</v>
      </c>
      <c r="U564" s="1008"/>
    </row>
    <row r="565" spans="1:21" ht="18.75" customHeight="1">
      <c r="A565" s="1170" t="s">
        <v>2893</v>
      </c>
      <c r="B565" s="1170"/>
      <c r="C565" s="1170"/>
      <c r="D565" s="1170"/>
      <c r="E565" s="1170"/>
      <c r="F565" s="1170"/>
      <c r="G565" s="1170"/>
      <c r="H565" s="1170"/>
      <c r="I565" s="1170"/>
      <c r="J565" s="1170"/>
      <c r="K565" s="1170"/>
      <c r="L565" s="1007">
        <f>SUM(L566:L616)</f>
        <v>65129476</v>
      </c>
      <c r="M565" s="1007">
        <f>SUM(M566:M616)</f>
        <v>65129476</v>
      </c>
      <c r="N565" s="1007">
        <f>SUM(N566:N616)</f>
        <v>0</v>
      </c>
      <c r="O565" s="1007">
        <f>SUM(O566:O616)</f>
        <v>0</v>
      </c>
      <c r="P565" s="1007">
        <f>SUM(P566:P616)</f>
        <v>0</v>
      </c>
      <c r="R565" s="445"/>
      <c r="S565" s="445"/>
      <c r="T565" s="991">
        <f t="shared" si="88"/>
        <v>0</v>
      </c>
      <c r="U565" s="1008"/>
    </row>
    <row r="566" spans="1:21" ht="15.75">
      <c r="A566" s="464">
        <v>547</v>
      </c>
      <c r="B566" s="490" t="s">
        <v>2894</v>
      </c>
      <c r="C566" s="466" t="s">
        <v>2895</v>
      </c>
      <c r="D566" s="470">
        <v>2</v>
      </c>
      <c r="E566" s="819" t="s">
        <v>286</v>
      </c>
      <c r="F566" s="485"/>
      <c r="G566" s="470">
        <v>2</v>
      </c>
      <c r="H566" s="470"/>
      <c r="I566" s="474"/>
      <c r="J566" s="474"/>
      <c r="K566" s="488">
        <v>9652500</v>
      </c>
      <c r="L566" s="1007">
        <f>K566*D566</f>
        <v>19305000</v>
      </c>
      <c r="M566" s="1007">
        <f>K566*G566</f>
        <v>19305000</v>
      </c>
      <c r="N566" s="1007">
        <f>K566*H566</f>
        <v>0</v>
      </c>
      <c r="O566" s="1007">
        <f>K566*I566</f>
        <v>0</v>
      </c>
      <c r="P566" s="1007">
        <f>K566*J566</f>
        <v>0</v>
      </c>
      <c r="Q566" s="1212" t="s">
        <v>4236</v>
      </c>
      <c r="R566" s="445"/>
      <c r="S566" s="445"/>
      <c r="T566" s="991">
        <f t="shared" si="88"/>
        <v>2</v>
      </c>
      <c r="U566" s="1008"/>
    </row>
    <row r="567" spans="1:21" ht="15.75">
      <c r="A567" s="464">
        <v>548</v>
      </c>
      <c r="B567" s="460" t="s">
        <v>2896</v>
      </c>
      <c r="C567" s="466" t="s">
        <v>2897</v>
      </c>
      <c r="D567" s="470">
        <v>1</v>
      </c>
      <c r="E567" s="819" t="s">
        <v>286</v>
      </c>
      <c r="F567" s="485"/>
      <c r="G567" s="470">
        <v>1</v>
      </c>
      <c r="H567" s="470"/>
      <c r="I567" s="474"/>
      <c r="J567" s="474"/>
      <c r="K567" s="488">
        <v>650000</v>
      </c>
      <c r="L567" s="1007">
        <f t="shared" ref="L567:L616" si="89">K567*D567</f>
        <v>650000</v>
      </c>
      <c r="M567" s="1007">
        <f t="shared" ref="M567:M616" si="90">K567*G567</f>
        <v>650000</v>
      </c>
      <c r="N567" s="1007">
        <f t="shared" ref="N567:N616" si="91">K567*H567</f>
        <v>0</v>
      </c>
      <c r="O567" s="1007">
        <f t="shared" ref="O567:O616" si="92">K567*I567</f>
        <v>0</v>
      </c>
      <c r="P567" s="1007">
        <f t="shared" ref="P567:P616" si="93">K567*J567</f>
        <v>0</v>
      </c>
      <c r="Q567" s="1212"/>
      <c r="R567" s="445"/>
      <c r="S567" s="445"/>
      <c r="T567" s="991">
        <f t="shared" si="88"/>
        <v>1</v>
      </c>
      <c r="U567" s="1008"/>
    </row>
    <row r="568" spans="1:21" ht="15.75">
      <c r="A568" s="464">
        <v>549</v>
      </c>
      <c r="B568" s="490" t="s">
        <v>2898</v>
      </c>
      <c r="C568" s="466" t="s">
        <v>2899</v>
      </c>
      <c r="D568" s="470">
        <v>1</v>
      </c>
      <c r="E568" s="819" t="s">
        <v>286</v>
      </c>
      <c r="F568" s="485"/>
      <c r="G568" s="470">
        <v>1</v>
      </c>
      <c r="H568" s="470"/>
      <c r="I568" s="474"/>
      <c r="J568" s="474"/>
      <c r="K568" s="488">
        <v>850000</v>
      </c>
      <c r="L568" s="1007">
        <f t="shared" si="89"/>
        <v>850000</v>
      </c>
      <c r="M568" s="1007">
        <f t="shared" si="90"/>
        <v>850000</v>
      </c>
      <c r="N568" s="1007">
        <f t="shared" si="91"/>
        <v>0</v>
      </c>
      <c r="O568" s="1007">
        <f t="shared" si="92"/>
        <v>0</v>
      </c>
      <c r="P568" s="1007">
        <f t="shared" si="93"/>
        <v>0</v>
      </c>
      <c r="Q568" s="1212"/>
      <c r="R568" s="445"/>
      <c r="S568" s="445"/>
      <c r="T568" s="991">
        <f t="shared" si="88"/>
        <v>1</v>
      </c>
      <c r="U568" s="1008"/>
    </row>
    <row r="569" spans="1:21" ht="30">
      <c r="A569" s="464">
        <v>550</v>
      </c>
      <c r="B569" s="490" t="s">
        <v>2900</v>
      </c>
      <c r="C569" s="466" t="s">
        <v>2901</v>
      </c>
      <c r="D569" s="470">
        <v>1</v>
      </c>
      <c r="E569" s="819" t="s">
        <v>286</v>
      </c>
      <c r="F569" s="485"/>
      <c r="G569" s="470">
        <v>1</v>
      </c>
      <c r="H569" s="470"/>
      <c r="I569" s="474"/>
      <c r="J569" s="474"/>
      <c r="K569" s="488">
        <v>1350000</v>
      </c>
      <c r="L569" s="1007">
        <f t="shared" si="89"/>
        <v>1350000</v>
      </c>
      <c r="M569" s="1007">
        <f t="shared" si="90"/>
        <v>1350000</v>
      </c>
      <c r="N569" s="1007">
        <f t="shared" si="91"/>
        <v>0</v>
      </c>
      <c r="O569" s="1007">
        <f t="shared" si="92"/>
        <v>0</v>
      </c>
      <c r="P569" s="1007">
        <f t="shared" si="93"/>
        <v>0</v>
      </c>
      <c r="Q569" s="1212"/>
      <c r="R569" s="445"/>
      <c r="S569" s="445"/>
      <c r="T569" s="991">
        <f t="shared" si="88"/>
        <v>1</v>
      </c>
      <c r="U569" s="1008"/>
    </row>
    <row r="570" spans="1:21" ht="15.75">
      <c r="A570" s="464">
        <v>551</v>
      </c>
      <c r="B570" s="490" t="s">
        <v>2902</v>
      </c>
      <c r="C570" s="466" t="s">
        <v>2903</v>
      </c>
      <c r="D570" s="470">
        <v>2</v>
      </c>
      <c r="E570" s="819" t="s">
        <v>286</v>
      </c>
      <c r="F570" s="485"/>
      <c r="G570" s="470">
        <v>2</v>
      </c>
      <c r="H570" s="470"/>
      <c r="I570" s="474"/>
      <c r="J570" s="474"/>
      <c r="K570" s="488">
        <v>85000</v>
      </c>
      <c r="L570" s="1007">
        <f t="shared" si="89"/>
        <v>170000</v>
      </c>
      <c r="M570" s="1007">
        <f t="shared" si="90"/>
        <v>170000</v>
      </c>
      <c r="N570" s="1007">
        <f t="shared" si="91"/>
        <v>0</v>
      </c>
      <c r="O570" s="1007">
        <f t="shared" si="92"/>
        <v>0</v>
      </c>
      <c r="P570" s="1007">
        <f t="shared" si="93"/>
        <v>0</v>
      </c>
      <c r="Q570" s="1212"/>
      <c r="R570" s="445"/>
      <c r="S570" s="445"/>
      <c r="T570" s="991">
        <f t="shared" si="88"/>
        <v>2</v>
      </c>
      <c r="U570" s="1008"/>
    </row>
    <row r="571" spans="1:21" ht="15.75">
      <c r="A571" s="464">
        <v>552</v>
      </c>
      <c r="B571" s="490" t="s">
        <v>2904</v>
      </c>
      <c r="C571" s="466" t="s">
        <v>2905</v>
      </c>
      <c r="D571" s="470">
        <v>1</v>
      </c>
      <c r="E571" s="819" t="s">
        <v>2906</v>
      </c>
      <c r="F571" s="485"/>
      <c r="G571" s="470">
        <v>1</v>
      </c>
      <c r="H571" s="470"/>
      <c r="I571" s="474"/>
      <c r="J571" s="474"/>
      <c r="K571" s="488">
        <v>145600</v>
      </c>
      <c r="L571" s="1007">
        <f t="shared" si="89"/>
        <v>145600</v>
      </c>
      <c r="M571" s="1007">
        <f t="shared" si="90"/>
        <v>145600</v>
      </c>
      <c r="N571" s="1007">
        <f t="shared" si="91"/>
        <v>0</v>
      </c>
      <c r="O571" s="1007">
        <f t="shared" si="92"/>
        <v>0</v>
      </c>
      <c r="P571" s="1007">
        <f t="shared" si="93"/>
        <v>0</v>
      </c>
      <c r="Q571" s="1212"/>
      <c r="R571" s="445"/>
      <c r="S571" s="445"/>
      <c r="T571" s="991">
        <f t="shared" si="88"/>
        <v>1</v>
      </c>
      <c r="U571" s="1008"/>
    </row>
    <row r="572" spans="1:21" ht="15.75">
      <c r="A572" s="464">
        <v>553</v>
      </c>
      <c r="B572" s="490" t="s">
        <v>2907</v>
      </c>
      <c r="C572" s="466" t="s">
        <v>2908</v>
      </c>
      <c r="D572" s="470">
        <v>2</v>
      </c>
      <c r="E572" s="819" t="s">
        <v>2906</v>
      </c>
      <c r="F572" s="485"/>
      <c r="G572" s="470">
        <v>2</v>
      </c>
      <c r="H572" s="470"/>
      <c r="I572" s="474"/>
      <c r="J572" s="474"/>
      <c r="K572" s="488">
        <v>186000</v>
      </c>
      <c r="L572" s="1007">
        <f t="shared" si="89"/>
        <v>372000</v>
      </c>
      <c r="M572" s="1007">
        <f t="shared" si="90"/>
        <v>372000</v>
      </c>
      <c r="N572" s="1007">
        <f t="shared" si="91"/>
        <v>0</v>
      </c>
      <c r="O572" s="1007">
        <f t="shared" si="92"/>
        <v>0</v>
      </c>
      <c r="P572" s="1007">
        <f t="shared" si="93"/>
        <v>0</v>
      </c>
      <c r="Q572" s="1212"/>
      <c r="R572" s="445"/>
      <c r="S572" s="445"/>
      <c r="T572" s="991">
        <f t="shared" si="88"/>
        <v>2</v>
      </c>
      <c r="U572" s="1008"/>
    </row>
    <row r="573" spans="1:21" ht="15.75">
      <c r="A573" s="464">
        <v>554</v>
      </c>
      <c r="B573" s="490" t="s">
        <v>2909</v>
      </c>
      <c r="C573" s="466" t="s">
        <v>2910</v>
      </c>
      <c r="D573" s="470">
        <v>1</v>
      </c>
      <c r="E573" s="819" t="s">
        <v>2906</v>
      </c>
      <c r="F573" s="485"/>
      <c r="G573" s="470">
        <v>1</v>
      </c>
      <c r="H573" s="470"/>
      <c r="I573" s="474"/>
      <c r="J573" s="474"/>
      <c r="K573" s="488">
        <v>1256600</v>
      </c>
      <c r="L573" s="1007">
        <f t="shared" si="89"/>
        <v>1256600</v>
      </c>
      <c r="M573" s="1007">
        <f t="shared" si="90"/>
        <v>1256600</v>
      </c>
      <c r="N573" s="1007">
        <f t="shared" si="91"/>
        <v>0</v>
      </c>
      <c r="O573" s="1007">
        <f t="shared" si="92"/>
        <v>0</v>
      </c>
      <c r="P573" s="1007">
        <f t="shared" si="93"/>
        <v>0</v>
      </c>
      <c r="Q573" s="1212"/>
      <c r="R573" s="445"/>
      <c r="S573" s="445"/>
      <c r="T573" s="991">
        <f t="shared" si="88"/>
        <v>1</v>
      </c>
      <c r="U573" s="1008"/>
    </row>
    <row r="574" spans="1:21" ht="15.75">
      <c r="A574" s="464">
        <v>555</v>
      </c>
      <c r="B574" s="490" t="s">
        <v>2911</v>
      </c>
      <c r="C574" s="466" t="s">
        <v>2912</v>
      </c>
      <c r="D574" s="470">
        <v>2</v>
      </c>
      <c r="E574" s="819" t="s">
        <v>2906</v>
      </c>
      <c r="F574" s="485"/>
      <c r="G574" s="470">
        <v>2</v>
      </c>
      <c r="H574" s="470"/>
      <c r="I574" s="474"/>
      <c r="J574" s="474"/>
      <c r="K574" s="488">
        <v>326000</v>
      </c>
      <c r="L574" s="1007">
        <f t="shared" si="89"/>
        <v>652000</v>
      </c>
      <c r="M574" s="1007">
        <f t="shared" si="90"/>
        <v>652000</v>
      </c>
      <c r="N574" s="1007">
        <f t="shared" si="91"/>
        <v>0</v>
      </c>
      <c r="O574" s="1007">
        <f t="shared" si="92"/>
        <v>0</v>
      </c>
      <c r="P574" s="1007">
        <f t="shared" si="93"/>
        <v>0</v>
      </c>
      <c r="Q574" s="1212"/>
      <c r="R574" s="445"/>
      <c r="S574" s="445"/>
      <c r="T574" s="991">
        <f t="shared" si="88"/>
        <v>2</v>
      </c>
      <c r="U574" s="1008"/>
    </row>
    <row r="575" spans="1:21" ht="15.75">
      <c r="A575" s="464">
        <v>556</v>
      </c>
      <c r="B575" s="490" t="s">
        <v>2913</v>
      </c>
      <c r="C575" s="466" t="s">
        <v>2914</v>
      </c>
      <c r="D575" s="470">
        <v>1</v>
      </c>
      <c r="E575" s="819" t="s">
        <v>2906</v>
      </c>
      <c r="F575" s="485"/>
      <c r="G575" s="470">
        <v>1</v>
      </c>
      <c r="H575" s="470"/>
      <c r="I575" s="474"/>
      <c r="J575" s="474"/>
      <c r="K575" s="488">
        <v>88000</v>
      </c>
      <c r="L575" s="1007">
        <f t="shared" si="89"/>
        <v>88000</v>
      </c>
      <c r="M575" s="1007">
        <f t="shared" si="90"/>
        <v>88000</v>
      </c>
      <c r="N575" s="1007">
        <f t="shared" si="91"/>
        <v>0</v>
      </c>
      <c r="O575" s="1007">
        <f t="shared" si="92"/>
        <v>0</v>
      </c>
      <c r="P575" s="1007">
        <f t="shared" si="93"/>
        <v>0</v>
      </c>
      <c r="Q575" s="1212"/>
      <c r="R575" s="445"/>
      <c r="S575" s="445"/>
      <c r="T575" s="991">
        <f t="shared" si="88"/>
        <v>1</v>
      </c>
      <c r="U575" s="1008"/>
    </row>
    <row r="576" spans="1:21" ht="15.75">
      <c r="A576" s="464">
        <v>557</v>
      </c>
      <c r="B576" s="490" t="s">
        <v>2915</v>
      </c>
      <c r="C576" s="466" t="s">
        <v>2916</v>
      </c>
      <c r="D576" s="470">
        <v>1</v>
      </c>
      <c r="E576" s="819" t="s">
        <v>2906</v>
      </c>
      <c r="F576" s="485"/>
      <c r="G576" s="470">
        <v>1</v>
      </c>
      <c r="H576" s="470"/>
      <c r="I576" s="474"/>
      <c r="J576" s="474"/>
      <c r="K576" s="488">
        <v>368000</v>
      </c>
      <c r="L576" s="1007">
        <f t="shared" si="89"/>
        <v>368000</v>
      </c>
      <c r="M576" s="1007">
        <f t="shared" si="90"/>
        <v>368000</v>
      </c>
      <c r="N576" s="1007">
        <f t="shared" si="91"/>
        <v>0</v>
      </c>
      <c r="O576" s="1007">
        <f t="shared" si="92"/>
        <v>0</v>
      </c>
      <c r="P576" s="1007">
        <f t="shared" si="93"/>
        <v>0</v>
      </c>
      <c r="Q576" s="1212"/>
      <c r="R576" s="445"/>
      <c r="S576" s="445"/>
      <c r="T576" s="991">
        <f t="shared" si="88"/>
        <v>1</v>
      </c>
      <c r="U576" s="1008"/>
    </row>
    <row r="577" spans="1:21" ht="15.75">
      <c r="A577" s="464">
        <v>558</v>
      </c>
      <c r="B577" s="490" t="s">
        <v>2917</v>
      </c>
      <c r="C577" s="466" t="s">
        <v>2918</v>
      </c>
      <c r="D577" s="470">
        <v>2</v>
      </c>
      <c r="E577" s="819" t="s">
        <v>2906</v>
      </c>
      <c r="F577" s="485"/>
      <c r="G577" s="470">
        <v>2</v>
      </c>
      <c r="H577" s="470"/>
      <c r="I577" s="474"/>
      <c r="J577" s="474"/>
      <c r="K577" s="488">
        <v>3650000</v>
      </c>
      <c r="L577" s="1007">
        <f t="shared" si="89"/>
        <v>7300000</v>
      </c>
      <c r="M577" s="1007">
        <f t="shared" si="90"/>
        <v>7300000</v>
      </c>
      <c r="N577" s="1007">
        <f t="shared" si="91"/>
        <v>0</v>
      </c>
      <c r="O577" s="1007">
        <f t="shared" si="92"/>
        <v>0</v>
      </c>
      <c r="P577" s="1007">
        <f t="shared" si="93"/>
        <v>0</v>
      </c>
      <c r="Q577" s="1212"/>
      <c r="R577" s="445"/>
      <c r="S577" s="445"/>
      <c r="T577" s="991">
        <f t="shared" si="88"/>
        <v>2</v>
      </c>
      <c r="U577" s="1008"/>
    </row>
    <row r="578" spans="1:21" ht="15.75">
      <c r="A578" s="464">
        <v>559</v>
      </c>
      <c r="B578" s="490" t="s">
        <v>2919</v>
      </c>
      <c r="C578" s="466" t="s">
        <v>2920</v>
      </c>
      <c r="D578" s="470">
        <v>1</v>
      </c>
      <c r="E578" s="819" t="s">
        <v>2906</v>
      </c>
      <c r="F578" s="485"/>
      <c r="G578" s="470">
        <v>1</v>
      </c>
      <c r="H578" s="470"/>
      <c r="I578" s="474"/>
      <c r="J578" s="474"/>
      <c r="K578" s="488">
        <v>2689000</v>
      </c>
      <c r="L578" s="1007">
        <f t="shared" si="89"/>
        <v>2689000</v>
      </c>
      <c r="M578" s="1007">
        <f t="shared" si="90"/>
        <v>2689000</v>
      </c>
      <c r="N578" s="1007">
        <f t="shared" si="91"/>
        <v>0</v>
      </c>
      <c r="O578" s="1007">
        <f t="shared" si="92"/>
        <v>0</v>
      </c>
      <c r="P578" s="1007">
        <f t="shared" si="93"/>
        <v>0</v>
      </c>
      <c r="Q578" s="1212"/>
      <c r="R578" s="445"/>
      <c r="S578" s="445"/>
      <c r="T578" s="991">
        <f t="shared" si="88"/>
        <v>1</v>
      </c>
      <c r="U578" s="1008"/>
    </row>
    <row r="579" spans="1:21" ht="15.75">
      <c r="A579" s="464">
        <v>560</v>
      </c>
      <c r="B579" s="490" t="s">
        <v>2921</v>
      </c>
      <c r="C579" s="466" t="s">
        <v>2922</v>
      </c>
      <c r="D579" s="470">
        <v>2</v>
      </c>
      <c r="E579" s="819" t="s">
        <v>286</v>
      </c>
      <c r="F579" s="485"/>
      <c r="G579" s="470">
        <v>2</v>
      </c>
      <c r="H579" s="470"/>
      <c r="I579" s="474"/>
      <c r="J579" s="474"/>
      <c r="K579" s="488">
        <v>256000</v>
      </c>
      <c r="L579" s="1007">
        <f t="shared" si="89"/>
        <v>512000</v>
      </c>
      <c r="M579" s="1007">
        <f t="shared" si="90"/>
        <v>512000</v>
      </c>
      <c r="N579" s="1007">
        <f t="shared" si="91"/>
        <v>0</v>
      </c>
      <c r="O579" s="1007">
        <f t="shared" si="92"/>
        <v>0</v>
      </c>
      <c r="P579" s="1007">
        <f t="shared" si="93"/>
        <v>0</v>
      </c>
      <c r="Q579" s="1212"/>
      <c r="R579" s="445"/>
      <c r="S579" s="445"/>
      <c r="T579" s="991">
        <f t="shared" si="88"/>
        <v>2</v>
      </c>
      <c r="U579" s="1008"/>
    </row>
    <row r="580" spans="1:21" ht="15.75">
      <c r="A580" s="464">
        <v>561</v>
      </c>
      <c r="B580" s="490" t="s">
        <v>2923</v>
      </c>
      <c r="C580" s="466" t="s">
        <v>2924</v>
      </c>
      <c r="D580" s="470">
        <v>1</v>
      </c>
      <c r="E580" s="819" t="s">
        <v>286</v>
      </c>
      <c r="F580" s="485"/>
      <c r="G580" s="470">
        <v>1</v>
      </c>
      <c r="H580" s="470"/>
      <c r="I580" s="474"/>
      <c r="J580" s="474"/>
      <c r="K580" s="488">
        <v>210000</v>
      </c>
      <c r="L580" s="1007">
        <f t="shared" si="89"/>
        <v>210000</v>
      </c>
      <c r="M580" s="1007">
        <f t="shared" si="90"/>
        <v>210000</v>
      </c>
      <c r="N580" s="1007">
        <f t="shared" si="91"/>
        <v>0</v>
      </c>
      <c r="O580" s="1007">
        <f t="shared" si="92"/>
        <v>0</v>
      </c>
      <c r="P580" s="1007">
        <f t="shared" si="93"/>
        <v>0</v>
      </c>
      <c r="Q580" s="1212"/>
      <c r="R580" s="445"/>
      <c r="S580" s="445"/>
      <c r="T580" s="991">
        <f t="shared" si="88"/>
        <v>1</v>
      </c>
      <c r="U580" s="1008"/>
    </row>
    <row r="581" spans="1:21" ht="15.75">
      <c r="A581" s="464">
        <v>562</v>
      </c>
      <c r="B581" s="490" t="s">
        <v>2925</v>
      </c>
      <c r="C581" s="466" t="s">
        <v>2926</v>
      </c>
      <c r="D581" s="470">
        <v>2</v>
      </c>
      <c r="E581" s="819" t="s">
        <v>286</v>
      </c>
      <c r="F581" s="485"/>
      <c r="G581" s="470">
        <v>2</v>
      </c>
      <c r="H581" s="470"/>
      <c r="I581" s="474"/>
      <c r="J581" s="474"/>
      <c r="K581" s="488">
        <v>283000</v>
      </c>
      <c r="L581" s="1007">
        <f t="shared" si="89"/>
        <v>566000</v>
      </c>
      <c r="M581" s="1007">
        <f t="shared" si="90"/>
        <v>566000</v>
      </c>
      <c r="N581" s="1007">
        <f t="shared" si="91"/>
        <v>0</v>
      </c>
      <c r="O581" s="1007">
        <f t="shared" si="92"/>
        <v>0</v>
      </c>
      <c r="P581" s="1007">
        <f t="shared" si="93"/>
        <v>0</v>
      </c>
      <c r="Q581" s="1212"/>
      <c r="R581" s="445"/>
      <c r="S581" s="445"/>
      <c r="T581" s="991">
        <f t="shared" si="88"/>
        <v>2</v>
      </c>
      <c r="U581" s="1008"/>
    </row>
    <row r="582" spans="1:21" ht="15.75">
      <c r="A582" s="464">
        <v>563</v>
      </c>
      <c r="B582" s="490" t="s">
        <v>2927</v>
      </c>
      <c r="C582" s="466" t="s">
        <v>2928</v>
      </c>
      <c r="D582" s="470">
        <v>1</v>
      </c>
      <c r="E582" s="819" t="s">
        <v>286</v>
      </c>
      <c r="F582" s="485"/>
      <c r="G582" s="470">
        <v>1</v>
      </c>
      <c r="H582" s="470"/>
      <c r="I582" s="474"/>
      <c r="J582" s="474"/>
      <c r="K582" s="488">
        <v>865000</v>
      </c>
      <c r="L582" s="1007">
        <f t="shared" si="89"/>
        <v>865000</v>
      </c>
      <c r="M582" s="1007">
        <f t="shared" si="90"/>
        <v>865000</v>
      </c>
      <c r="N582" s="1007">
        <f t="shared" si="91"/>
        <v>0</v>
      </c>
      <c r="O582" s="1007">
        <f t="shared" si="92"/>
        <v>0</v>
      </c>
      <c r="P582" s="1007">
        <f t="shared" si="93"/>
        <v>0</v>
      </c>
      <c r="Q582" s="1212"/>
      <c r="R582" s="445"/>
      <c r="S582" s="445"/>
      <c r="T582" s="991">
        <f t="shared" si="88"/>
        <v>1</v>
      </c>
      <c r="U582" s="1008"/>
    </row>
    <row r="583" spans="1:21" ht="15.75">
      <c r="A583" s="464">
        <v>564</v>
      </c>
      <c r="B583" s="490" t="s">
        <v>2929</v>
      </c>
      <c r="C583" s="466" t="s">
        <v>2930</v>
      </c>
      <c r="D583" s="470">
        <v>1</v>
      </c>
      <c r="E583" s="819" t="s">
        <v>286</v>
      </c>
      <c r="F583" s="485"/>
      <c r="G583" s="470">
        <v>1</v>
      </c>
      <c r="H583" s="470"/>
      <c r="I583" s="474"/>
      <c r="J583" s="474"/>
      <c r="K583" s="488">
        <v>598800</v>
      </c>
      <c r="L583" s="1007">
        <f t="shared" si="89"/>
        <v>598800</v>
      </c>
      <c r="M583" s="1007">
        <f t="shared" si="90"/>
        <v>598800</v>
      </c>
      <c r="N583" s="1007">
        <f t="shared" si="91"/>
        <v>0</v>
      </c>
      <c r="O583" s="1007">
        <f t="shared" si="92"/>
        <v>0</v>
      </c>
      <c r="P583" s="1007">
        <f t="shared" si="93"/>
        <v>0</v>
      </c>
      <c r="Q583" s="1212"/>
      <c r="R583" s="445"/>
      <c r="S583" s="445"/>
      <c r="T583" s="991">
        <f t="shared" si="88"/>
        <v>1</v>
      </c>
      <c r="U583" s="1008"/>
    </row>
    <row r="584" spans="1:21" ht="15.75">
      <c r="A584" s="464">
        <v>565</v>
      </c>
      <c r="B584" s="490" t="s">
        <v>2931</v>
      </c>
      <c r="C584" s="466" t="s">
        <v>2932</v>
      </c>
      <c r="D584" s="470">
        <v>2</v>
      </c>
      <c r="E584" s="819" t="s">
        <v>286</v>
      </c>
      <c r="F584" s="485"/>
      <c r="G584" s="470">
        <v>2</v>
      </c>
      <c r="H584" s="470"/>
      <c r="I584" s="474"/>
      <c r="J584" s="474"/>
      <c r="K584" s="488">
        <v>1032000</v>
      </c>
      <c r="L584" s="1007">
        <f t="shared" si="89"/>
        <v>2064000</v>
      </c>
      <c r="M584" s="1007">
        <f t="shared" si="90"/>
        <v>2064000</v>
      </c>
      <c r="N584" s="1007">
        <f t="shared" si="91"/>
        <v>0</v>
      </c>
      <c r="O584" s="1007">
        <f t="shared" si="92"/>
        <v>0</v>
      </c>
      <c r="P584" s="1007">
        <f t="shared" si="93"/>
        <v>0</v>
      </c>
      <c r="Q584" s="1212"/>
      <c r="R584" s="445"/>
      <c r="S584" s="445"/>
      <c r="T584" s="991">
        <f t="shared" si="88"/>
        <v>2</v>
      </c>
      <c r="U584" s="1008"/>
    </row>
    <row r="585" spans="1:21" ht="15.75">
      <c r="A585" s="464">
        <v>566</v>
      </c>
      <c r="B585" s="490" t="s">
        <v>2933</v>
      </c>
      <c r="C585" s="466" t="s">
        <v>2934</v>
      </c>
      <c r="D585" s="470">
        <v>2</v>
      </c>
      <c r="E585" s="819" t="s">
        <v>2906</v>
      </c>
      <c r="F585" s="485"/>
      <c r="G585" s="470">
        <v>2</v>
      </c>
      <c r="H585" s="470"/>
      <c r="I585" s="474"/>
      <c r="J585" s="474"/>
      <c r="K585" s="488">
        <v>98600</v>
      </c>
      <c r="L585" s="1007">
        <f t="shared" si="89"/>
        <v>197200</v>
      </c>
      <c r="M585" s="1007">
        <f t="shared" si="90"/>
        <v>197200</v>
      </c>
      <c r="N585" s="1007">
        <f t="shared" si="91"/>
        <v>0</v>
      </c>
      <c r="O585" s="1007">
        <f t="shared" si="92"/>
        <v>0</v>
      </c>
      <c r="P585" s="1007">
        <f t="shared" si="93"/>
        <v>0</v>
      </c>
      <c r="Q585" s="1212"/>
      <c r="R585" s="445"/>
      <c r="S585" s="445"/>
      <c r="T585" s="991">
        <f t="shared" si="88"/>
        <v>2</v>
      </c>
      <c r="U585" s="1008"/>
    </row>
    <row r="586" spans="1:21" ht="15.75">
      <c r="A586" s="464">
        <v>567</v>
      </c>
      <c r="B586" s="490" t="s">
        <v>2933</v>
      </c>
      <c r="C586" s="466" t="s">
        <v>2935</v>
      </c>
      <c r="D586" s="470">
        <v>2</v>
      </c>
      <c r="E586" s="819" t="s">
        <v>2906</v>
      </c>
      <c r="F586" s="485"/>
      <c r="G586" s="470">
        <v>2</v>
      </c>
      <c r="H586" s="470"/>
      <c r="I586" s="474"/>
      <c r="J586" s="474"/>
      <c r="K586" s="488">
        <v>126000</v>
      </c>
      <c r="L586" s="1007">
        <f t="shared" si="89"/>
        <v>252000</v>
      </c>
      <c r="M586" s="1007">
        <f t="shared" si="90"/>
        <v>252000</v>
      </c>
      <c r="N586" s="1007">
        <f t="shared" si="91"/>
        <v>0</v>
      </c>
      <c r="O586" s="1007">
        <f t="shared" si="92"/>
        <v>0</v>
      </c>
      <c r="P586" s="1007">
        <f t="shared" si="93"/>
        <v>0</v>
      </c>
      <c r="Q586" s="1212"/>
      <c r="R586" s="445"/>
      <c r="S586" s="445"/>
      <c r="T586" s="991">
        <f t="shared" si="88"/>
        <v>2</v>
      </c>
      <c r="U586" s="1008"/>
    </row>
    <row r="587" spans="1:21" ht="15.75">
      <c r="A587" s="464">
        <v>568</v>
      </c>
      <c r="B587" s="490" t="s">
        <v>2936</v>
      </c>
      <c r="C587" s="466" t="s">
        <v>2937</v>
      </c>
      <c r="D587" s="470">
        <v>1</v>
      </c>
      <c r="E587" s="819" t="s">
        <v>2906</v>
      </c>
      <c r="F587" s="485"/>
      <c r="G587" s="470">
        <v>1</v>
      </c>
      <c r="H587" s="470"/>
      <c r="I587" s="474"/>
      <c r="J587" s="474"/>
      <c r="K587" s="488">
        <v>286000</v>
      </c>
      <c r="L587" s="1007">
        <f t="shared" si="89"/>
        <v>286000</v>
      </c>
      <c r="M587" s="1007">
        <f t="shared" si="90"/>
        <v>286000</v>
      </c>
      <c r="N587" s="1007">
        <f t="shared" si="91"/>
        <v>0</v>
      </c>
      <c r="O587" s="1007">
        <f t="shared" si="92"/>
        <v>0</v>
      </c>
      <c r="P587" s="1007">
        <f t="shared" si="93"/>
        <v>0</v>
      </c>
      <c r="Q587" s="1212"/>
      <c r="R587" s="445"/>
      <c r="S587" s="445"/>
      <c r="T587" s="991">
        <f t="shared" si="88"/>
        <v>1</v>
      </c>
      <c r="U587" s="1008"/>
    </row>
    <row r="588" spans="1:21" ht="15.75">
      <c r="A588" s="464">
        <v>569</v>
      </c>
      <c r="B588" s="490" t="s">
        <v>2938</v>
      </c>
      <c r="C588" s="466" t="s">
        <v>2939</v>
      </c>
      <c r="D588" s="470">
        <v>1</v>
      </c>
      <c r="E588" s="819" t="s">
        <v>286</v>
      </c>
      <c r="F588" s="485"/>
      <c r="G588" s="470">
        <v>1</v>
      </c>
      <c r="H588" s="470"/>
      <c r="I588" s="474"/>
      <c r="J588" s="474"/>
      <c r="K588" s="488">
        <v>1359600</v>
      </c>
      <c r="L588" s="1007">
        <f t="shared" si="89"/>
        <v>1359600</v>
      </c>
      <c r="M588" s="1007">
        <f t="shared" si="90"/>
        <v>1359600</v>
      </c>
      <c r="N588" s="1007">
        <f t="shared" si="91"/>
        <v>0</v>
      </c>
      <c r="O588" s="1007">
        <f t="shared" si="92"/>
        <v>0</v>
      </c>
      <c r="P588" s="1007">
        <f t="shared" si="93"/>
        <v>0</v>
      </c>
      <c r="Q588" s="1212"/>
      <c r="R588" s="445"/>
      <c r="S588" s="445"/>
      <c r="T588" s="991">
        <f t="shared" si="88"/>
        <v>1</v>
      </c>
      <c r="U588" s="1008"/>
    </row>
    <row r="589" spans="1:21" ht="15.75">
      <c r="A589" s="464">
        <v>570</v>
      </c>
      <c r="B589" s="490" t="s">
        <v>2940</v>
      </c>
      <c r="C589" s="466" t="s">
        <v>2941</v>
      </c>
      <c r="D589" s="470">
        <v>1</v>
      </c>
      <c r="E589" s="819" t="s">
        <v>286</v>
      </c>
      <c r="F589" s="485"/>
      <c r="G589" s="470">
        <v>1</v>
      </c>
      <c r="H589" s="470"/>
      <c r="I589" s="474"/>
      <c r="J589" s="474"/>
      <c r="K589" s="488">
        <v>1389000</v>
      </c>
      <c r="L589" s="1007">
        <f t="shared" si="89"/>
        <v>1389000</v>
      </c>
      <c r="M589" s="1007">
        <f t="shared" si="90"/>
        <v>1389000</v>
      </c>
      <c r="N589" s="1007">
        <f t="shared" si="91"/>
        <v>0</v>
      </c>
      <c r="O589" s="1007">
        <f t="shared" si="92"/>
        <v>0</v>
      </c>
      <c r="P589" s="1007">
        <f t="shared" si="93"/>
        <v>0</v>
      </c>
      <c r="Q589" s="1212"/>
      <c r="R589" s="445"/>
      <c r="S589" s="445"/>
      <c r="T589" s="991">
        <f t="shared" si="88"/>
        <v>1</v>
      </c>
      <c r="U589" s="1008"/>
    </row>
    <row r="590" spans="1:21" ht="15.75">
      <c r="A590" s="464">
        <v>571</v>
      </c>
      <c r="B590" s="490" t="s">
        <v>2942</v>
      </c>
      <c r="C590" s="466" t="s">
        <v>2943</v>
      </c>
      <c r="D590" s="470">
        <v>1</v>
      </c>
      <c r="E590" s="819" t="s">
        <v>2906</v>
      </c>
      <c r="F590" s="485"/>
      <c r="G590" s="470">
        <v>1</v>
      </c>
      <c r="H590" s="470"/>
      <c r="I590" s="474"/>
      <c r="J590" s="474"/>
      <c r="K590" s="488">
        <v>789000</v>
      </c>
      <c r="L590" s="1007">
        <f t="shared" si="89"/>
        <v>789000</v>
      </c>
      <c r="M590" s="1007">
        <f t="shared" si="90"/>
        <v>789000</v>
      </c>
      <c r="N590" s="1007">
        <f t="shared" si="91"/>
        <v>0</v>
      </c>
      <c r="O590" s="1007">
        <f t="shared" si="92"/>
        <v>0</v>
      </c>
      <c r="P590" s="1007">
        <f t="shared" si="93"/>
        <v>0</v>
      </c>
      <c r="Q590" s="1212"/>
      <c r="R590" s="445"/>
      <c r="S590" s="445"/>
      <c r="T590" s="991">
        <f t="shared" si="88"/>
        <v>1</v>
      </c>
      <c r="U590" s="1008"/>
    </row>
    <row r="591" spans="1:21" ht="15.75">
      <c r="A591" s="464">
        <v>572</v>
      </c>
      <c r="B591" s="490" t="s">
        <v>2944</v>
      </c>
      <c r="C591" s="466" t="s">
        <v>2945</v>
      </c>
      <c r="D591" s="470">
        <v>2</v>
      </c>
      <c r="E591" s="819" t="s">
        <v>286</v>
      </c>
      <c r="F591" s="485"/>
      <c r="G591" s="470">
        <v>2</v>
      </c>
      <c r="H591" s="470"/>
      <c r="I591" s="474"/>
      <c r="J591" s="474"/>
      <c r="K591" s="488">
        <v>695460</v>
      </c>
      <c r="L591" s="1007">
        <f t="shared" si="89"/>
        <v>1390920</v>
      </c>
      <c r="M591" s="1007">
        <f t="shared" si="90"/>
        <v>1390920</v>
      </c>
      <c r="N591" s="1007">
        <f t="shared" si="91"/>
        <v>0</v>
      </c>
      <c r="O591" s="1007">
        <f t="shared" si="92"/>
        <v>0</v>
      </c>
      <c r="P591" s="1007">
        <f t="shared" si="93"/>
        <v>0</v>
      </c>
      <c r="Q591" s="1212"/>
      <c r="R591" s="445"/>
      <c r="S591" s="445"/>
      <c r="T591" s="991">
        <f t="shared" si="88"/>
        <v>2</v>
      </c>
      <c r="U591" s="1008"/>
    </row>
    <row r="592" spans="1:21" ht="15.75">
      <c r="A592" s="464">
        <v>573</v>
      </c>
      <c r="B592" s="490" t="s">
        <v>2946</v>
      </c>
      <c r="C592" s="466" t="s">
        <v>2947</v>
      </c>
      <c r="D592" s="470">
        <v>2</v>
      </c>
      <c r="E592" s="819" t="s">
        <v>286</v>
      </c>
      <c r="F592" s="485"/>
      <c r="G592" s="470">
        <v>2</v>
      </c>
      <c r="H592" s="470"/>
      <c r="I592" s="474"/>
      <c r="J592" s="474"/>
      <c r="K592" s="488">
        <v>412000</v>
      </c>
      <c r="L592" s="1007">
        <f t="shared" si="89"/>
        <v>824000</v>
      </c>
      <c r="M592" s="1007">
        <f t="shared" si="90"/>
        <v>824000</v>
      </c>
      <c r="N592" s="1007">
        <f t="shared" si="91"/>
        <v>0</v>
      </c>
      <c r="O592" s="1007">
        <f t="shared" si="92"/>
        <v>0</v>
      </c>
      <c r="P592" s="1007">
        <f t="shared" si="93"/>
        <v>0</v>
      </c>
      <c r="Q592" s="1212"/>
      <c r="R592" s="445"/>
      <c r="S592" s="445"/>
      <c r="T592" s="991">
        <f t="shared" si="88"/>
        <v>2</v>
      </c>
      <c r="U592" s="1008"/>
    </row>
    <row r="593" spans="1:21" ht="15.75">
      <c r="A593" s="464">
        <v>574</v>
      </c>
      <c r="B593" s="490" t="s">
        <v>2948</v>
      </c>
      <c r="C593" s="466" t="s">
        <v>2949</v>
      </c>
      <c r="D593" s="470">
        <v>2</v>
      </c>
      <c r="E593" s="819" t="s">
        <v>2906</v>
      </c>
      <c r="F593" s="485"/>
      <c r="G593" s="470">
        <v>2</v>
      </c>
      <c r="H593" s="470"/>
      <c r="I593" s="474"/>
      <c r="J593" s="474"/>
      <c r="K593" s="488">
        <v>398650</v>
      </c>
      <c r="L593" s="1007">
        <f t="shared" si="89"/>
        <v>797300</v>
      </c>
      <c r="M593" s="1007">
        <f t="shared" si="90"/>
        <v>797300</v>
      </c>
      <c r="N593" s="1007">
        <f t="shared" si="91"/>
        <v>0</v>
      </c>
      <c r="O593" s="1007">
        <f t="shared" si="92"/>
        <v>0</v>
      </c>
      <c r="P593" s="1007">
        <f t="shared" si="93"/>
        <v>0</v>
      </c>
      <c r="Q593" s="1212"/>
      <c r="R593" s="445"/>
      <c r="S593" s="445"/>
      <c r="T593" s="991">
        <f t="shared" si="88"/>
        <v>2</v>
      </c>
      <c r="U593" s="1008"/>
    </row>
    <row r="594" spans="1:21" ht="15.75">
      <c r="A594" s="464">
        <v>575</v>
      </c>
      <c r="B594" s="490" t="s">
        <v>2950</v>
      </c>
      <c r="C594" s="466" t="s">
        <v>2951</v>
      </c>
      <c r="D594" s="470">
        <v>2</v>
      </c>
      <c r="E594" s="819" t="s">
        <v>2906</v>
      </c>
      <c r="F594" s="485"/>
      <c r="G594" s="470">
        <v>2</v>
      </c>
      <c r="H594" s="470"/>
      <c r="I594" s="474"/>
      <c r="J594" s="474"/>
      <c r="K594" s="488">
        <v>289000</v>
      </c>
      <c r="L594" s="1007">
        <f t="shared" si="89"/>
        <v>578000</v>
      </c>
      <c r="M594" s="1007">
        <f t="shared" si="90"/>
        <v>578000</v>
      </c>
      <c r="N594" s="1007">
        <f t="shared" si="91"/>
        <v>0</v>
      </c>
      <c r="O594" s="1007">
        <f t="shared" si="92"/>
        <v>0</v>
      </c>
      <c r="P594" s="1007">
        <f t="shared" si="93"/>
        <v>0</v>
      </c>
      <c r="Q594" s="1212"/>
      <c r="R594" s="445"/>
      <c r="S594" s="445"/>
      <c r="T594" s="991">
        <f t="shared" si="88"/>
        <v>2</v>
      </c>
      <c r="U594" s="1008"/>
    </row>
    <row r="595" spans="1:21" ht="15.75">
      <c r="A595" s="464">
        <v>576</v>
      </c>
      <c r="B595" s="490" t="s">
        <v>2952</v>
      </c>
      <c r="C595" s="466" t="s">
        <v>2953</v>
      </c>
      <c r="D595" s="470">
        <v>2</v>
      </c>
      <c r="E595" s="819" t="s">
        <v>286</v>
      </c>
      <c r="F595" s="485"/>
      <c r="G595" s="470">
        <v>2</v>
      </c>
      <c r="H595" s="470"/>
      <c r="I595" s="474"/>
      <c r="J595" s="474"/>
      <c r="K595" s="488">
        <v>89000</v>
      </c>
      <c r="L595" s="1007">
        <f t="shared" si="89"/>
        <v>178000</v>
      </c>
      <c r="M595" s="1007">
        <f t="shared" si="90"/>
        <v>178000</v>
      </c>
      <c r="N595" s="1007">
        <f t="shared" si="91"/>
        <v>0</v>
      </c>
      <c r="O595" s="1007">
        <f t="shared" si="92"/>
        <v>0</v>
      </c>
      <c r="P595" s="1007">
        <f t="shared" si="93"/>
        <v>0</v>
      </c>
      <c r="Q595" s="1212"/>
      <c r="R595" s="445"/>
      <c r="S595" s="445"/>
      <c r="T595" s="991">
        <f t="shared" si="88"/>
        <v>2</v>
      </c>
      <c r="U595" s="1008"/>
    </row>
    <row r="596" spans="1:21" ht="15.75">
      <c r="A596" s="464">
        <v>577</v>
      </c>
      <c r="B596" s="490" t="s">
        <v>2954</v>
      </c>
      <c r="C596" s="466" t="s">
        <v>2955</v>
      </c>
      <c r="D596" s="470">
        <v>2</v>
      </c>
      <c r="E596" s="819" t="s">
        <v>286</v>
      </c>
      <c r="F596" s="485"/>
      <c r="G596" s="470">
        <v>2</v>
      </c>
      <c r="H596" s="470"/>
      <c r="I596" s="474"/>
      <c r="J596" s="474"/>
      <c r="K596" s="488">
        <v>156000</v>
      </c>
      <c r="L596" s="1007">
        <f t="shared" si="89"/>
        <v>312000</v>
      </c>
      <c r="M596" s="1007">
        <f t="shared" si="90"/>
        <v>312000</v>
      </c>
      <c r="N596" s="1007">
        <f t="shared" si="91"/>
        <v>0</v>
      </c>
      <c r="O596" s="1007">
        <f t="shared" si="92"/>
        <v>0</v>
      </c>
      <c r="P596" s="1007">
        <f t="shared" si="93"/>
        <v>0</v>
      </c>
      <c r="Q596" s="1212"/>
      <c r="R596" s="445"/>
      <c r="S596" s="445"/>
      <c r="T596" s="991">
        <f t="shared" si="88"/>
        <v>2</v>
      </c>
      <c r="U596" s="1008"/>
    </row>
    <row r="597" spans="1:21" ht="15.75">
      <c r="A597" s="464">
        <v>578</v>
      </c>
      <c r="B597" s="490" t="s">
        <v>2956</v>
      </c>
      <c r="C597" s="466" t="s">
        <v>2957</v>
      </c>
      <c r="D597" s="470">
        <v>2</v>
      </c>
      <c r="E597" s="819" t="s">
        <v>286</v>
      </c>
      <c r="F597" s="485"/>
      <c r="G597" s="470">
        <v>2</v>
      </c>
      <c r="H597" s="470"/>
      <c r="I597" s="474"/>
      <c r="J597" s="474"/>
      <c r="K597" s="488">
        <v>118000</v>
      </c>
      <c r="L597" s="1007">
        <f t="shared" si="89"/>
        <v>236000</v>
      </c>
      <c r="M597" s="1007">
        <f t="shared" si="90"/>
        <v>236000</v>
      </c>
      <c r="N597" s="1007">
        <f t="shared" si="91"/>
        <v>0</v>
      </c>
      <c r="O597" s="1007">
        <f t="shared" si="92"/>
        <v>0</v>
      </c>
      <c r="P597" s="1007">
        <f t="shared" si="93"/>
        <v>0</v>
      </c>
      <c r="Q597" s="1212"/>
      <c r="R597" s="445"/>
      <c r="S597" s="445"/>
      <c r="T597" s="991">
        <f t="shared" si="88"/>
        <v>2</v>
      </c>
      <c r="U597" s="1008"/>
    </row>
    <row r="598" spans="1:21" ht="15.75">
      <c r="A598" s="464">
        <v>579</v>
      </c>
      <c r="B598" s="490" t="s">
        <v>2958</v>
      </c>
      <c r="C598" s="466" t="s">
        <v>2959</v>
      </c>
      <c r="D598" s="470">
        <v>2</v>
      </c>
      <c r="E598" s="819" t="s">
        <v>286</v>
      </c>
      <c r="F598" s="485"/>
      <c r="G598" s="470">
        <v>2</v>
      </c>
      <c r="H598" s="470"/>
      <c r="I598" s="474"/>
      <c r="J598" s="474"/>
      <c r="K598" s="488">
        <v>36500</v>
      </c>
      <c r="L598" s="1007">
        <f t="shared" si="89"/>
        <v>73000</v>
      </c>
      <c r="M598" s="1007">
        <f t="shared" si="90"/>
        <v>73000</v>
      </c>
      <c r="N598" s="1007">
        <f t="shared" si="91"/>
        <v>0</v>
      </c>
      <c r="O598" s="1007">
        <f t="shared" si="92"/>
        <v>0</v>
      </c>
      <c r="P598" s="1007">
        <f t="shared" si="93"/>
        <v>0</v>
      </c>
      <c r="Q598" s="1212"/>
      <c r="R598" s="445"/>
      <c r="S598" s="445"/>
      <c r="T598" s="991">
        <f t="shared" si="88"/>
        <v>2</v>
      </c>
      <c r="U598" s="1008"/>
    </row>
    <row r="599" spans="1:21" ht="15.75">
      <c r="A599" s="464">
        <v>580</v>
      </c>
      <c r="B599" s="490" t="s">
        <v>2960</v>
      </c>
      <c r="C599" s="466" t="s">
        <v>2961</v>
      </c>
      <c r="D599" s="470">
        <v>2</v>
      </c>
      <c r="E599" s="819" t="s">
        <v>286</v>
      </c>
      <c r="F599" s="485"/>
      <c r="G599" s="470">
        <v>2</v>
      </c>
      <c r="H599" s="470"/>
      <c r="I599" s="474"/>
      <c r="J599" s="474"/>
      <c r="K599" s="488">
        <v>68500</v>
      </c>
      <c r="L599" s="1007">
        <f t="shared" si="89"/>
        <v>137000</v>
      </c>
      <c r="M599" s="1007">
        <f t="shared" si="90"/>
        <v>137000</v>
      </c>
      <c r="N599" s="1007">
        <f t="shared" si="91"/>
        <v>0</v>
      </c>
      <c r="O599" s="1007">
        <f t="shared" si="92"/>
        <v>0</v>
      </c>
      <c r="P599" s="1007">
        <f t="shared" si="93"/>
        <v>0</v>
      </c>
      <c r="Q599" s="1212"/>
      <c r="R599" s="445"/>
      <c r="S599" s="445"/>
      <c r="T599" s="991">
        <f t="shared" si="88"/>
        <v>2</v>
      </c>
      <c r="U599" s="1008"/>
    </row>
    <row r="600" spans="1:21" ht="15.75">
      <c r="A600" s="464">
        <v>581</v>
      </c>
      <c r="B600" s="490" t="s">
        <v>2962</v>
      </c>
      <c r="C600" s="466" t="s">
        <v>2963</v>
      </c>
      <c r="D600" s="470">
        <v>2</v>
      </c>
      <c r="E600" s="819" t="s">
        <v>286</v>
      </c>
      <c r="F600" s="485"/>
      <c r="G600" s="470">
        <v>2</v>
      </c>
      <c r="H600" s="470"/>
      <c r="I600" s="474"/>
      <c r="J600" s="474"/>
      <c r="K600" s="488">
        <v>136000</v>
      </c>
      <c r="L600" s="1007">
        <f t="shared" si="89"/>
        <v>272000</v>
      </c>
      <c r="M600" s="1007">
        <f t="shared" si="90"/>
        <v>272000</v>
      </c>
      <c r="N600" s="1007">
        <f t="shared" si="91"/>
        <v>0</v>
      </c>
      <c r="O600" s="1007">
        <f t="shared" si="92"/>
        <v>0</v>
      </c>
      <c r="P600" s="1007">
        <f t="shared" si="93"/>
        <v>0</v>
      </c>
      <c r="Q600" s="1212"/>
      <c r="R600" s="445"/>
      <c r="S600" s="445"/>
      <c r="T600" s="991">
        <f t="shared" si="88"/>
        <v>2</v>
      </c>
      <c r="U600" s="1008"/>
    </row>
    <row r="601" spans="1:21" ht="15.75">
      <c r="A601" s="464">
        <v>582</v>
      </c>
      <c r="B601" s="490" t="s">
        <v>2964</v>
      </c>
      <c r="C601" s="466" t="s">
        <v>2965</v>
      </c>
      <c r="D601" s="470">
        <v>1</v>
      </c>
      <c r="E601" s="819" t="s">
        <v>286</v>
      </c>
      <c r="F601" s="485"/>
      <c r="G601" s="470">
        <v>1</v>
      </c>
      <c r="H601" s="470"/>
      <c r="I601" s="474"/>
      <c r="J601" s="474"/>
      <c r="K601" s="488">
        <v>890000</v>
      </c>
      <c r="L601" s="1007">
        <f t="shared" si="89"/>
        <v>890000</v>
      </c>
      <c r="M601" s="1007">
        <f t="shared" si="90"/>
        <v>890000</v>
      </c>
      <c r="N601" s="1007">
        <f t="shared" si="91"/>
        <v>0</v>
      </c>
      <c r="O601" s="1007">
        <f t="shared" si="92"/>
        <v>0</v>
      </c>
      <c r="P601" s="1007">
        <f t="shared" si="93"/>
        <v>0</v>
      </c>
      <c r="Q601" s="1212"/>
      <c r="R601" s="445"/>
      <c r="S601" s="445"/>
      <c r="T601" s="991">
        <f t="shared" si="88"/>
        <v>1</v>
      </c>
      <c r="U601" s="1008"/>
    </row>
    <row r="602" spans="1:21" ht="15.75">
      <c r="A602" s="464">
        <v>583</v>
      </c>
      <c r="B602" s="490" t="s">
        <v>2966</v>
      </c>
      <c r="C602" s="466" t="s">
        <v>2967</v>
      </c>
      <c r="D602" s="470">
        <v>1</v>
      </c>
      <c r="E602" s="819" t="s">
        <v>286</v>
      </c>
      <c r="F602" s="485"/>
      <c r="G602" s="470">
        <v>1</v>
      </c>
      <c r="H602" s="470"/>
      <c r="I602" s="474"/>
      <c r="J602" s="474"/>
      <c r="K602" s="488">
        <v>365000</v>
      </c>
      <c r="L602" s="1007">
        <f t="shared" si="89"/>
        <v>365000</v>
      </c>
      <c r="M602" s="1007">
        <f t="shared" si="90"/>
        <v>365000</v>
      </c>
      <c r="N602" s="1007">
        <f t="shared" si="91"/>
        <v>0</v>
      </c>
      <c r="O602" s="1007">
        <f t="shared" si="92"/>
        <v>0</v>
      </c>
      <c r="P602" s="1007">
        <f t="shared" si="93"/>
        <v>0</v>
      </c>
      <c r="Q602" s="1212"/>
      <c r="R602" s="445"/>
      <c r="S602" s="445"/>
      <c r="T602" s="991">
        <f t="shared" si="88"/>
        <v>1</v>
      </c>
      <c r="U602" s="1008"/>
    </row>
    <row r="603" spans="1:21" ht="15.75">
      <c r="A603" s="464">
        <v>584</v>
      </c>
      <c r="B603" s="490" t="s">
        <v>2968</v>
      </c>
      <c r="C603" s="466" t="s">
        <v>2969</v>
      </c>
      <c r="D603" s="470">
        <v>1</v>
      </c>
      <c r="E603" s="819" t="s">
        <v>286</v>
      </c>
      <c r="F603" s="485"/>
      <c r="G603" s="470">
        <v>1</v>
      </c>
      <c r="H603" s="470"/>
      <c r="I603" s="474"/>
      <c r="J603" s="474"/>
      <c r="K603" s="488">
        <v>198056</v>
      </c>
      <c r="L603" s="1007">
        <f t="shared" si="89"/>
        <v>198056</v>
      </c>
      <c r="M603" s="1007">
        <f t="shared" si="90"/>
        <v>198056</v>
      </c>
      <c r="N603" s="1007">
        <f t="shared" si="91"/>
        <v>0</v>
      </c>
      <c r="O603" s="1007">
        <f t="shared" si="92"/>
        <v>0</v>
      </c>
      <c r="P603" s="1007">
        <f t="shared" si="93"/>
        <v>0</v>
      </c>
      <c r="Q603" s="1212"/>
      <c r="R603" s="445"/>
      <c r="S603" s="445"/>
      <c r="T603" s="991">
        <f t="shared" si="88"/>
        <v>1</v>
      </c>
      <c r="U603" s="1008"/>
    </row>
    <row r="604" spans="1:21" ht="15.75">
      <c r="A604" s="464">
        <v>585</v>
      </c>
      <c r="B604" s="490" t="s">
        <v>2970</v>
      </c>
      <c r="C604" s="466" t="s">
        <v>2971</v>
      </c>
      <c r="D604" s="470">
        <v>2</v>
      </c>
      <c r="E604" s="819" t="s">
        <v>286</v>
      </c>
      <c r="F604" s="485"/>
      <c r="G604" s="470">
        <v>2</v>
      </c>
      <c r="H604" s="470"/>
      <c r="I604" s="474"/>
      <c r="J604" s="474"/>
      <c r="K604" s="488">
        <v>156000</v>
      </c>
      <c r="L604" s="1007">
        <f t="shared" si="89"/>
        <v>312000</v>
      </c>
      <c r="M604" s="1007">
        <f t="shared" si="90"/>
        <v>312000</v>
      </c>
      <c r="N604" s="1007">
        <f t="shared" si="91"/>
        <v>0</v>
      </c>
      <c r="O604" s="1007">
        <f t="shared" si="92"/>
        <v>0</v>
      </c>
      <c r="P604" s="1007">
        <f t="shared" si="93"/>
        <v>0</v>
      </c>
      <c r="Q604" s="1212"/>
      <c r="R604" s="445"/>
      <c r="S604" s="445"/>
      <c r="T604" s="991">
        <f t="shared" si="88"/>
        <v>2</v>
      </c>
      <c r="U604" s="1008"/>
    </row>
    <row r="605" spans="1:21" ht="15.75">
      <c r="A605" s="464">
        <v>586</v>
      </c>
      <c r="B605" s="490" t="s">
        <v>2972</v>
      </c>
      <c r="C605" s="466" t="s">
        <v>2973</v>
      </c>
      <c r="D605" s="470">
        <v>2</v>
      </c>
      <c r="E605" s="819" t="s">
        <v>2906</v>
      </c>
      <c r="F605" s="485"/>
      <c r="G605" s="470">
        <v>2</v>
      </c>
      <c r="H605" s="470"/>
      <c r="I605" s="474"/>
      <c r="J605" s="474"/>
      <c r="K605" s="488">
        <v>756000</v>
      </c>
      <c r="L605" s="1007">
        <f t="shared" si="89"/>
        <v>1512000</v>
      </c>
      <c r="M605" s="1007">
        <f t="shared" si="90"/>
        <v>1512000</v>
      </c>
      <c r="N605" s="1007">
        <f t="shared" si="91"/>
        <v>0</v>
      </c>
      <c r="O605" s="1007">
        <f t="shared" si="92"/>
        <v>0</v>
      </c>
      <c r="P605" s="1007">
        <f t="shared" si="93"/>
        <v>0</v>
      </c>
      <c r="Q605" s="1212"/>
      <c r="R605" s="445"/>
      <c r="S605" s="445"/>
      <c r="T605" s="991">
        <f t="shared" si="88"/>
        <v>2</v>
      </c>
      <c r="U605" s="1008"/>
    </row>
    <row r="606" spans="1:21" ht="15.75">
      <c r="A606" s="464">
        <v>587</v>
      </c>
      <c r="B606" s="490" t="s">
        <v>2974</v>
      </c>
      <c r="C606" s="466" t="s">
        <v>2975</v>
      </c>
      <c r="D606" s="470">
        <v>2</v>
      </c>
      <c r="E606" s="819" t="s">
        <v>2906</v>
      </c>
      <c r="F606" s="485"/>
      <c r="G606" s="470">
        <v>2</v>
      </c>
      <c r="H606" s="470"/>
      <c r="I606" s="474"/>
      <c r="J606" s="474"/>
      <c r="K606" s="488">
        <v>845000</v>
      </c>
      <c r="L606" s="1007">
        <f t="shared" si="89"/>
        <v>1690000</v>
      </c>
      <c r="M606" s="1007">
        <f t="shared" si="90"/>
        <v>1690000</v>
      </c>
      <c r="N606" s="1007">
        <f t="shared" si="91"/>
        <v>0</v>
      </c>
      <c r="O606" s="1007">
        <f t="shared" si="92"/>
        <v>0</v>
      </c>
      <c r="P606" s="1007">
        <f t="shared" si="93"/>
        <v>0</v>
      </c>
      <c r="Q606" s="1212"/>
      <c r="R606" s="445"/>
      <c r="S606" s="445"/>
      <c r="T606" s="991">
        <f t="shared" si="88"/>
        <v>2</v>
      </c>
      <c r="U606" s="1008"/>
    </row>
    <row r="607" spans="1:21" ht="15.75">
      <c r="A607" s="464">
        <v>588</v>
      </c>
      <c r="B607" s="490" t="s">
        <v>2976</v>
      </c>
      <c r="C607" s="466" t="s">
        <v>2977</v>
      </c>
      <c r="D607" s="470">
        <v>2</v>
      </c>
      <c r="E607" s="819" t="s">
        <v>286</v>
      </c>
      <c r="F607" s="485"/>
      <c r="G607" s="470">
        <v>2</v>
      </c>
      <c r="H607" s="470"/>
      <c r="I607" s="474"/>
      <c r="J607" s="474"/>
      <c r="K607" s="488">
        <v>69000</v>
      </c>
      <c r="L607" s="1007">
        <f t="shared" si="89"/>
        <v>138000</v>
      </c>
      <c r="M607" s="1007">
        <f t="shared" si="90"/>
        <v>138000</v>
      </c>
      <c r="N607" s="1007">
        <f t="shared" si="91"/>
        <v>0</v>
      </c>
      <c r="O607" s="1007">
        <f t="shared" si="92"/>
        <v>0</v>
      </c>
      <c r="P607" s="1007">
        <f t="shared" si="93"/>
        <v>0</v>
      </c>
      <c r="Q607" s="1212"/>
      <c r="R607" s="445"/>
      <c r="S607" s="445"/>
      <c r="T607" s="991">
        <f t="shared" si="88"/>
        <v>2</v>
      </c>
      <c r="U607" s="1008"/>
    </row>
    <row r="608" spans="1:21" ht="15.75">
      <c r="A608" s="464">
        <v>589</v>
      </c>
      <c r="B608" s="490" t="s">
        <v>2976</v>
      </c>
      <c r="C608" s="466" t="s">
        <v>2978</v>
      </c>
      <c r="D608" s="470">
        <v>2</v>
      </c>
      <c r="E608" s="819" t="s">
        <v>286</v>
      </c>
      <c r="F608" s="485"/>
      <c r="G608" s="470">
        <v>2</v>
      </c>
      <c r="H608" s="470"/>
      <c r="I608" s="474"/>
      <c r="J608" s="474"/>
      <c r="K608" s="488">
        <v>69000</v>
      </c>
      <c r="L608" s="1007">
        <f t="shared" si="89"/>
        <v>138000</v>
      </c>
      <c r="M608" s="1007">
        <f t="shared" si="90"/>
        <v>138000</v>
      </c>
      <c r="N608" s="1007">
        <f t="shared" si="91"/>
        <v>0</v>
      </c>
      <c r="O608" s="1007">
        <f t="shared" si="92"/>
        <v>0</v>
      </c>
      <c r="P608" s="1007">
        <f t="shared" si="93"/>
        <v>0</v>
      </c>
      <c r="Q608" s="1212"/>
      <c r="R608" s="445"/>
      <c r="S608" s="445"/>
      <c r="T608" s="991">
        <f t="shared" si="88"/>
        <v>2</v>
      </c>
      <c r="U608" s="1008"/>
    </row>
    <row r="609" spans="1:21" ht="15.75">
      <c r="A609" s="464">
        <v>590</v>
      </c>
      <c r="B609" s="490" t="s">
        <v>2976</v>
      </c>
      <c r="C609" s="466" t="s">
        <v>2979</v>
      </c>
      <c r="D609" s="470">
        <v>2</v>
      </c>
      <c r="E609" s="819" t="s">
        <v>286</v>
      </c>
      <c r="F609" s="485"/>
      <c r="G609" s="470">
        <v>2</v>
      </c>
      <c r="H609" s="470"/>
      <c r="I609" s="474"/>
      <c r="J609" s="474"/>
      <c r="K609" s="488">
        <v>69000</v>
      </c>
      <c r="L609" s="1007">
        <f t="shared" si="89"/>
        <v>138000</v>
      </c>
      <c r="M609" s="1007">
        <f t="shared" si="90"/>
        <v>138000</v>
      </c>
      <c r="N609" s="1007">
        <f t="shared" si="91"/>
        <v>0</v>
      </c>
      <c r="O609" s="1007">
        <f t="shared" si="92"/>
        <v>0</v>
      </c>
      <c r="P609" s="1007">
        <f t="shared" si="93"/>
        <v>0</v>
      </c>
      <c r="Q609" s="1212"/>
      <c r="R609" s="445"/>
      <c r="S609" s="445"/>
      <c r="T609" s="991">
        <f t="shared" si="88"/>
        <v>2</v>
      </c>
      <c r="U609" s="1008"/>
    </row>
    <row r="610" spans="1:21" ht="15.75">
      <c r="A610" s="464">
        <v>591</v>
      </c>
      <c r="B610" s="490" t="s">
        <v>2976</v>
      </c>
      <c r="C610" s="466" t="s">
        <v>2980</v>
      </c>
      <c r="D610" s="470">
        <v>2</v>
      </c>
      <c r="E610" s="819" t="s">
        <v>286</v>
      </c>
      <c r="F610" s="485"/>
      <c r="G610" s="470">
        <v>2</v>
      </c>
      <c r="H610" s="470"/>
      <c r="I610" s="474"/>
      <c r="J610" s="474"/>
      <c r="K610" s="488">
        <v>69000</v>
      </c>
      <c r="L610" s="1007">
        <f t="shared" si="89"/>
        <v>138000</v>
      </c>
      <c r="M610" s="1007">
        <f t="shared" si="90"/>
        <v>138000</v>
      </c>
      <c r="N610" s="1007">
        <f t="shared" si="91"/>
        <v>0</v>
      </c>
      <c r="O610" s="1007">
        <f t="shared" si="92"/>
        <v>0</v>
      </c>
      <c r="P610" s="1007">
        <f t="shared" si="93"/>
        <v>0</v>
      </c>
      <c r="Q610" s="1212"/>
      <c r="R610" s="445"/>
      <c r="S610" s="445"/>
      <c r="T610" s="991">
        <f t="shared" si="88"/>
        <v>2</v>
      </c>
      <c r="U610" s="1008"/>
    </row>
    <row r="611" spans="1:21" ht="15.75">
      <c r="A611" s="464">
        <v>592</v>
      </c>
      <c r="B611" s="490" t="s">
        <v>2976</v>
      </c>
      <c r="C611" s="466" t="s">
        <v>2981</v>
      </c>
      <c r="D611" s="470">
        <v>2</v>
      </c>
      <c r="E611" s="819" t="s">
        <v>286</v>
      </c>
      <c r="F611" s="485"/>
      <c r="G611" s="470">
        <v>2</v>
      </c>
      <c r="H611" s="470"/>
      <c r="I611" s="474"/>
      <c r="J611" s="474"/>
      <c r="K611" s="488">
        <v>69000</v>
      </c>
      <c r="L611" s="1007">
        <f t="shared" si="89"/>
        <v>138000</v>
      </c>
      <c r="M611" s="1007">
        <f t="shared" si="90"/>
        <v>138000</v>
      </c>
      <c r="N611" s="1007">
        <f t="shared" si="91"/>
        <v>0</v>
      </c>
      <c r="O611" s="1007">
        <f t="shared" si="92"/>
        <v>0</v>
      </c>
      <c r="P611" s="1007">
        <f t="shared" si="93"/>
        <v>0</v>
      </c>
      <c r="Q611" s="1212"/>
      <c r="R611" s="445"/>
      <c r="S611" s="445"/>
      <c r="T611" s="991">
        <f t="shared" ref="T611:T616" si="94">G611+H611+I611+J611-S611</f>
        <v>2</v>
      </c>
      <c r="U611" s="1008"/>
    </row>
    <row r="612" spans="1:21" ht="30">
      <c r="A612" s="464">
        <v>593</v>
      </c>
      <c r="B612" s="490" t="s">
        <v>2982</v>
      </c>
      <c r="C612" s="466" t="s">
        <v>2983</v>
      </c>
      <c r="D612" s="470">
        <v>1</v>
      </c>
      <c r="E612" s="819" t="s">
        <v>2906</v>
      </c>
      <c r="F612" s="485"/>
      <c r="G612" s="470">
        <v>1</v>
      </c>
      <c r="H612" s="470"/>
      <c r="I612" s="474"/>
      <c r="J612" s="474"/>
      <c r="K612" s="488">
        <v>96850</v>
      </c>
      <c r="L612" s="1007">
        <f t="shared" si="89"/>
        <v>96850</v>
      </c>
      <c r="M612" s="1007">
        <f t="shared" si="90"/>
        <v>96850</v>
      </c>
      <c r="N612" s="1007">
        <f t="shared" si="91"/>
        <v>0</v>
      </c>
      <c r="O612" s="1007">
        <f t="shared" si="92"/>
        <v>0</v>
      </c>
      <c r="P612" s="1007">
        <f t="shared" si="93"/>
        <v>0</v>
      </c>
      <c r="Q612" s="1212"/>
      <c r="R612" s="445"/>
      <c r="S612" s="445"/>
      <c r="T612" s="991">
        <f t="shared" si="94"/>
        <v>1</v>
      </c>
      <c r="U612" s="1008"/>
    </row>
    <row r="613" spans="1:21" ht="15.75">
      <c r="A613" s="464">
        <v>594</v>
      </c>
      <c r="B613" s="490" t="s">
        <v>2984</v>
      </c>
      <c r="C613" s="466" t="s">
        <v>2985</v>
      </c>
      <c r="D613" s="470">
        <v>1</v>
      </c>
      <c r="E613" s="819" t="s">
        <v>286</v>
      </c>
      <c r="F613" s="485"/>
      <c r="G613" s="470">
        <v>1</v>
      </c>
      <c r="H613" s="470"/>
      <c r="I613" s="474"/>
      <c r="J613" s="474"/>
      <c r="K613" s="488">
        <v>125600</v>
      </c>
      <c r="L613" s="1007">
        <f t="shared" si="89"/>
        <v>125600</v>
      </c>
      <c r="M613" s="1007">
        <f t="shared" si="90"/>
        <v>125600</v>
      </c>
      <c r="N613" s="1007">
        <f t="shared" si="91"/>
        <v>0</v>
      </c>
      <c r="O613" s="1007">
        <f t="shared" si="92"/>
        <v>0</v>
      </c>
      <c r="P613" s="1007">
        <f t="shared" si="93"/>
        <v>0</v>
      </c>
      <c r="Q613" s="1212"/>
      <c r="R613" s="445"/>
      <c r="S613" s="445"/>
      <c r="T613" s="991">
        <f t="shared" si="94"/>
        <v>1</v>
      </c>
      <c r="U613" s="1008"/>
    </row>
    <row r="614" spans="1:21" ht="15.75">
      <c r="A614" s="464">
        <v>595</v>
      </c>
      <c r="B614" s="490" t="s">
        <v>2986</v>
      </c>
      <c r="C614" s="466" t="s">
        <v>2987</v>
      </c>
      <c r="D614" s="470">
        <v>1</v>
      </c>
      <c r="E614" s="819" t="s">
        <v>286</v>
      </c>
      <c r="F614" s="485"/>
      <c r="G614" s="470">
        <v>1</v>
      </c>
      <c r="H614" s="470"/>
      <c r="I614" s="474"/>
      <c r="J614" s="474"/>
      <c r="K614" s="488">
        <v>568900</v>
      </c>
      <c r="L614" s="1007">
        <f t="shared" si="89"/>
        <v>568900</v>
      </c>
      <c r="M614" s="1007">
        <f t="shared" si="90"/>
        <v>568900</v>
      </c>
      <c r="N614" s="1007">
        <f t="shared" si="91"/>
        <v>0</v>
      </c>
      <c r="O614" s="1007">
        <f t="shared" si="92"/>
        <v>0</v>
      </c>
      <c r="P614" s="1007">
        <f t="shared" si="93"/>
        <v>0</v>
      </c>
      <c r="Q614" s="1212"/>
      <c r="R614" s="445"/>
      <c r="S614" s="445"/>
      <c r="T614" s="991">
        <f t="shared" si="94"/>
        <v>1</v>
      </c>
      <c r="U614" s="1008"/>
    </row>
    <row r="615" spans="1:21" ht="15.75">
      <c r="A615" s="464">
        <v>596</v>
      </c>
      <c r="B615" s="490" t="s">
        <v>2986</v>
      </c>
      <c r="C615" s="466" t="s">
        <v>2988</v>
      </c>
      <c r="D615" s="470">
        <v>1</v>
      </c>
      <c r="E615" s="819" t="s">
        <v>286</v>
      </c>
      <c r="F615" s="485"/>
      <c r="G615" s="470">
        <v>1</v>
      </c>
      <c r="H615" s="470"/>
      <c r="I615" s="474"/>
      <c r="J615" s="474"/>
      <c r="K615" s="488">
        <v>1598050</v>
      </c>
      <c r="L615" s="1007">
        <f t="shared" si="89"/>
        <v>1598050</v>
      </c>
      <c r="M615" s="1007">
        <f t="shared" si="90"/>
        <v>1598050</v>
      </c>
      <c r="N615" s="1007">
        <f t="shared" si="91"/>
        <v>0</v>
      </c>
      <c r="O615" s="1007">
        <f t="shared" si="92"/>
        <v>0</v>
      </c>
      <c r="P615" s="1007">
        <f t="shared" si="93"/>
        <v>0</v>
      </c>
      <c r="Q615" s="1212"/>
      <c r="R615" s="445"/>
      <c r="S615" s="445"/>
      <c r="T615" s="991">
        <f t="shared" si="94"/>
        <v>1</v>
      </c>
      <c r="U615" s="1008"/>
    </row>
    <row r="616" spans="1:21" ht="15.75">
      <c r="A616" s="464">
        <v>597</v>
      </c>
      <c r="B616" s="490" t="s">
        <v>2989</v>
      </c>
      <c r="C616" s="466" t="s">
        <v>2990</v>
      </c>
      <c r="D616" s="470">
        <v>1</v>
      </c>
      <c r="E616" s="819" t="s">
        <v>286</v>
      </c>
      <c r="F616" s="485"/>
      <c r="G616" s="470">
        <v>1</v>
      </c>
      <c r="H616" s="470"/>
      <c r="I616" s="474"/>
      <c r="J616" s="474"/>
      <c r="K616" s="488">
        <v>8000000</v>
      </c>
      <c r="L616" s="1007">
        <f t="shared" si="89"/>
        <v>8000000</v>
      </c>
      <c r="M616" s="1007">
        <f t="shared" si="90"/>
        <v>8000000</v>
      </c>
      <c r="N616" s="1007">
        <f t="shared" si="91"/>
        <v>0</v>
      </c>
      <c r="O616" s="1007">
        <f t="shared" si="92"/>
        <v>0</v>
      </c>
      <c r="P616" s="1007">
        <f t="shared" si="93"/>
        <v>0</v>
      </c>
      <c r="Q616" s="1212"/>
      <c r="R616" s="445"/>
      <c r="S616" s="445"/>
      <c r="T616" s="991">
        <f t="shared" si="94"/>
        <v>1</v>
      </c>
      <c r="U616" s="1008"/>
    </row>
    <row r="617" spans="1:21" ht="26.25">
      <c r="A617" s="1210" t="s">
        <v>2996</v>
      </c>
      <c r="B617" s="1210"/>
      <c r="C617" s="1210"/>
      <c r="D617" s="1210"/>
      <c r="E617" s="1210"/>
      <c r="F617" s="1210"/>
      <c r="G617" s="1210"/>
      <c r="H617" s="1210"/>
      <c r="I617" s="1210"/>
      <c r="J617" s="1210"/>
      <c r="K617" s="462"/>
      <c r="L617" s="459">
        <f>SUM(L3,L6,L19,L33,L170,L187,L287,L309,L389,L406,L432,L462,L528,L530,L536,L562,L565)</f>
        <v>60217989160.780991</v>
      </c>
      <c r="M617" s="459">
        <f>SUM(M565,M562,M536,M530,M528,M462,M432,M406,M389,M309,M287,M187,M170,M33,M19,M3,M6)</f>
        <v>83296746</v>
      </c>
      <c r="N617" s="459">
        <f>SUM(N565,N562,N536,N530,N528,N462,N432,N406,N389,N309,N287,N187,N170,N33,N19,N6,N3)</f>
        <v>35126705678.348999</v>
      </c>
      <c r="O617" s="459">
        <f>SUM(O565,O562,O536,O530,O528,O462,O432,O406,O389,O309,O287,O187,O170,O33,O19,O6,O3)</f>
        <v>20369583435.085999</v>
      </c>
      <c r="P617" s="459">
        <f>SUM(P565,P562,P536,P530,P528,P462,P432,P406,P389,P309,P287,P187,P170,P33,P19,P6,P3)</f>
        <v>4638403301.3459997</v>
      </c>
      <c r="R617" s="445"/>
      <c r="S617" s="445"/>
      <c r="T617" s="1005"/>
      <c r="U617" s="1008"/>
    </row>
    <row r="621" spans="1:21">
      <c r="N621" s="458">
        <f>SUM(M617:P617)</f>
        <v>60217989160.780998</v>
      </c>
    </row>
    <row r="623" spans="1:21">
      <c r="N623" s="458"/>
    </row>
  </sheetData>
  <autoFilter ref="A1:J616" xr:uid="{00000000-0009-0000-0000-00000A000000}">
    <filterColumn colId="6" showButton="0"/>
    <filterColumn colId="7" showButton="0"/>
    <filterColumn colId="8" showButton="0"/>
  </autoFilter>
  <customSheetViews>
    <customSheetView guid="{750F99BE-5C19-4848-A09A-0E4FD0F9F8FC}" scale="70" showAutoFilter="1" topLeftCell="A571">
      <selection activeCell="L63" sqref="L63"/>
      <pageMargins left="0.7" right="0.7" top="0.75" bottom="0.75" header="0.3" footer="0.3"/>
      <pageSetup paperSize="9" orientation="portrait" verticalDpi="0" r:id="rId1"/>
      <autoFilter ref="A1:J650" xr:uid="{16B2221D-4F92-434E-BFB1-EE0DCDB1BCA5}">
        <filterColumn colId="6" showButton="0"/>
        <filterColumn colId="7" showButton="0"/>
        <filterColumn colId="8" showButton="0"/>
      </autoFilter>
    </customSheetView>
    <customSheetView guid="{DEF9C65D-F8A0-4631-A6BF-69DD462E745F}" scale="70" showAutoFilter="1" topLeftCell="A571">
      <selection activeCell="L63" sqref="L63"/>
      <pageMargins left="0.7" right="0.7" top="0.75" bottom="0.75" header="0.3" footer="0.3"/>
      <pageSetup paperSize="9" orientation="portrait" verticalDpi="0" r:id="rId2"/>
      <autoFilter ref="A1:J650" xr:uid="{144BC791-5368-48AA-B7F6-3735021AA21B}">
        <filterColumn colId="6" showButton="0"/>
        <filterColumn colId="7" showButton="0"/>
        <filterColumn colId="8" showButton="0"/>
      </autoFilter>
    </customSheetView>
    <customSheetView guid="{F53706EC-596C-4347-9C22-A701412B0A41}" scale="70" showAutoFilter="1" topLeftCell="A571">
      <selection activeCell="L63" sqref="L63"/>
      <pageMargins left="0.7" right="0.7" top="0.75" bottom="0.75" header="0.3" footer="0.3"/>
      <pageSetup paperSize="9" orientation="portrait" verticalDpi="0" r:id="rId3"/>
      <autoFilter ref="A1:J650" xr:uid="{54AF9F64-2142-4FD9-BB0E-1B15E72E69A7}">
        <filterColumn colId="6" showButton="0"/>
        <filterColumn colId="7" showButton="0"/>
        <filterColumn colId="8" showButton="0"/>
      </autoFilter>
    </customSheetView>
    <customSheetView guid="{93AFD236-396B-4FF3-AB41-05714D8754DB}" scale="70" showAutoFilter="1" topLeftCell="A571">
      <selection activeCell="L63" sqref="L63"/>
      <pageMargins left="0.7" right="0.7" top="0.75" bottom="0.75" header="0.3" footer="0.3"/>
      <pageSetup paperSize="9" orientation="portrait" verticalDpi="0" r:id="rId4"/>
      <autoFilter ref="A1:J650" xr:uid="{E7339794-16BC-436E-82A4-4A95643695D3}">
        <filterColumn colId="6" showButton="0"/>
        <filterColumn colId="7" showButton="0"/>
        <filterColumn colId="8" showButton="0"/>
      </autoFilter>
    </customSheetView>
  </customSheetViews>
  <mergeCells count="44">
    <mergeCell ref="Q563:Q564"/>
    <mergeCell ref="Q566:Q616"/>
    <mergeCell ref="Q463:Q527"/>
    <mergeCell ref="Q407:Q431"/>
    <mergeCell ref="Q433:Q461"/>
    <mergeCell ref="Q390:Q405"/>
    <mergeCell ref="Q531:Q535"/>
    <mergeCell ref="Q537:Q561"/>
    <mergeCell ref="Q288:Q308"/>
    <mergeCell ref="A309:K309"/>
    <mergeCell ref="Q310:Q388"/>
    <mergeCell ref="A406:K406"/>
    <mergeCell ref="A389:K389"/>
    <mergeCell ref="Q188:Q286"/>
    <mergeCell ref="A287:K287"/>
    <mergeCell ref="Q1:Q2"/>
    <mergeCell ref="A617:J617"/>
    <mergeCell ref="A528:K528"/>
    <mergeCell ref="A530:K530"/>
    <mergeCell ref="A536:K536"/>
    <mergeCell ref="A562:K562"/>
    <mergeCell ref="A565:K565"/>
    <mergeCell ref="A33:K33"/>
    <mergeCell ref="A19:K19"/>
    <mergeCell ref="A6:K6"/>
    <mergeCell ref="A3:K3"/>
    <mergeCell ref="A462:K462"/>
    <mergeCell ref="A432:K432"/>
    <mergeCell ref="Q20:Q32"/>
    <mergeCell ref="S1:S2"/>
    <mergeCell ref="T1:T2"/>
    <mergeCell ref="U1:U2"/>
    <mergeCell ref="A187:K187"/>
    <mergeCell ref="Q4:Q5"/>
    <mergeCell ref="Q7:Q18"/>
    <mergeCell ref="A170:K170"/>
    <mergeCell ref="Q171:Q186"/>
    <mergeCell ref="Q34:Q169"/>
    <mergeCell ref="R34:R169"/>
    <mergeCell ref="R310:R388"/>
    <mergeCell ref="R188:R286"/>
    <mergeCell ref="R171:R186"/>
    <mergeCell ref="R433:R461"/>
    <mergeCell ref="R1:R2"/>
  </mergeCells>
  <phoneticPr fontId="33" type="noConversion"/>
  <pageMargins left="0.7" right="0.7" top="0.75" bottom="0.75" header="0.3" footer="0.3"/>
  <pageSetup paperSize="9" orientation="portrait" verticalDpi="0" r:id="rId5"/>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U67"/>
  <sheetViews>
    <sheetView zoomScale="70" zoomScaleNormal="70" workbookViewId="0">
      <selection activeCell="K1" sqref="K1:U1048576"/>
    </sheetView>
  </sheetViews>
  <sheetFormatPr defaultColWidth="31" defaultRowHeight="15"/>
  <cols>
    <col min="1" max="1" width="4" bestFit="1" customWidth="1"/>
    <col min="4" max="4" width="12.85546875" bestFit="1" customWidth="1"/>
    <col min="5" max="5" width="20.7109375" bestFit="1" customWidth="1"/>
    <col min="6" max="6" width="47.7109375" hidden="1" customWidth="1"/>
    <col min="7" max="7" width="6.42578125" hidden="1" customWidth="1"/>
    <col min="8" max="8" width="11" hidden="1" customWidth="1"/>
    <col min="9" max="9" width="11" bestFit="1" customWidth="1"/>
    <col min="10" max="10" width="8.7109375" bestFit="1" customWidth="1"/>
    <col min="11" max="11" width="14.140625" hidden="1" customWidth="1"/>
    <col min="12" max="12" width="21.7109375" hidden="1" customWidth="1"/>
    <col min="13" max="13" width="14.140625" hidden="1" customWidth="1"/>
    <col min="14" max="14" width="18.5703125" hidden="1" customWidth="1"/>
    <col min="15" max="16" width="20.42578125" hidden="1" customWidth="1"/>
    <col min="17" max="17" width="20.42578125" style="669" hidden="1" customWidth="1"/>
    <col min="18" max="18" width="13.140625" hidden="1" customWidth="1"/>
    <col min="19" max="19" width="16.5703125" hidden="1" customWidth="1"/>
    <col min="20" max="20" width="9.42578125" hidden="1" customWidth="1"/>
    <col min="21" max="21" width="16.7109375" hidden="1" customWidth="1"/>
  </cols>
  <sheetData>
    <row r="1" spans="1:21" ht="18.75" customHeight="1">
      <c r="A1" s="1225" t="s">
        <v>595</v>
      </c>
      <c r="B1" s="1223" t="s">
        <v>272</v>
      </c>
      <c r="C1" s="1223" t="s">
        <v>273</v>
      </c>
      <c r="D1" s="1224" t="s">
        <v>274</v>
      </c>
      <c r="E1" s="1223" t="s">
        <v>1</v>
      </c>
      <c r="F1" s="1226" t="s">
        <v>275</v>
      </c>
      <c r="G1" s="1224" t="s">
        <v>2</v>
      </c>
      <c r="H1" s="1224"/>
      <c r="I1" s="1224"/>
      <c r="J1" s="1224"/>
      <c r="K1" s="1227" t="s">
        <v>2881</v>
      </c>
      <c r="L1" s="1227" t="s">
        <v>2882</v>
      </c>
      <c r="M1" s="1227" t="s">
        <v>2883</v>
      </c>
      <c r="N1" s="1227" t="s">
        <v>2884</v>
      </c>
      <c r="O1" s="1227" t="s">
        <v>2885</v>
      </c>
      <c r="P1" s="1227" t="s">
        <v>2886</v>
      </c>
      <c r="Q1" s="1208" t="s">
        <v>4230</v>
      </c>
      <c r="R1" s="1213" t="s">
        <v>4700</v>
      </c>
      <c r="S1" s="1213" t="s">
        <v>4701</v>
      </c>
      <c r="T1" s="1213" t="s">
        <v>4702</v>
      </c>
      <c r="U1" s="1213" t="s">
        <v>2882</v>
      </c>
    </row>
    <row r="2" spans="1:21" ht="25.5">
      <c r="A2" s="1225"/>
      <c r="B2" s="1223"/>
      <c r="C2" s="1223"/>
      <c r="D2" s="1224"/>
      <c r="E2" s="1223"/>
      <c r="F2" s="1226"/>
      <c r="G2" s="944" t="s">
        <v>3</v>
      </c>
      <c r="H2" s="944" t="s">
        <v>4</v>
      </c>
      <c r="I2" s="944" t="s">
        <v>5</v>
      </c>
      <c r="J2" s="944" t="s">
        <v>6</v>
      </c>
      <c r="K2" s="1227"/>
      <c r="L2" s="1227"/>
      <c r="M2" s="1227"/>
      <c r="N2" s="1227"/>
      <c r="O2" s="1227"/>
      <c r="P2" s="1227"/>
      <c r="Q2" s="1209"/>
      <c r="R2" s="1213"/>
      <c r="S2" s="1213"/>
      <c r="T2" s="1213"/>
      <c r="U2" s="1213"/>
    </row>
    <row r="3" spans="1:21">
      <c r="A3" s="1214" t="s">
        <v>1793</v>
      </c>
      <c r="B3" s="1215"/>
      <c r="C3" s="1215"/>
      <c r="D3" s="1215"/>
      <c r="E3" s="1215"/>
      <c r="F3" s="1215"/>
      <c r="G3" s="1215"/>
      <c r="H3" s="1215"/>
      <c r="I3" s="1215"/>
      <c r="J3" s="1216"/>
      <c r="K3" s="945"/>
      <c r="L3" s="946">
        <f>SUM(L4:L6)</f>
        <v>17308120</v>
      </c>
      <c r="M3" s="947">
        <f>SUM(M4:M6)</f>
        <v>0</v>
      </c>
      <c r="N3" s="948">
        <f>SUM(N4:N6)</f>
        <v>10404060</v>
      </c>
      <c r="O3" s="947">
        <f>SUM(O4:O6)</f>
        <v>6904060</v>
      </c>
      <c r="P3" s="947">
        <f>SUM(P4:P6)</f>
        <v>0</v>
      </c>
      <c r="Q3" s="965"/>
      <c r="R3" s="965"/>
      <c r="S3" s="965"/>
      <c r="T3" s="965"/>
      <c r="U3" s="929"/>
    </row>
    <row r="4" spans="1:21">
      <c r="A4" s="949">
        <v>1</v>
      </c>
      <c r="B4" s="950" t="s">
        <v>1794</v>
      </c>
      <c r="C4" s="950" t="s">
        <v>1795</v>
      </c>
      <c r="D4" s="471">
        <v>4</v>
      </c>
      <c r="E4" s="951" t="s">
        <v>464</v>
      </c>
      <c r="F4" s="952"/>
      <c r="G4" s="952"/>
      <c r="H4" s="952">
        <v>2</v>
      </c>
      <c r="I4" s="952">
        <v>2</v>
      </c>
      <c r="J4" s="952"/>
      <c r="K4" s="929">
        <v>3452030</v>
      </c>
      <c r="L4" s="933">
        <f>K4*D4</f>
        <v>13808120</v>
      </c>
      <c r="M4" s="930">
        <f>K4*G4</f>
        <v>0</v>
      </c>
      <c r="N4" s="931">
        <f>K4*H4</f>
        <v>6904060</v>
      </c>
      <c r="O4" s="953">
        <f>K4*I4</f>
        <v>6904060</v>
      </c>
      <c r="P4" s="932">
        <f>K4*J4</f>
        <v>0</v>
      </c>
      <c r="Q4" s="965"/>
      <c r="R4" s="965"/>
      <c r="S4" s="965"/>
      <c r="T4" s="969">
        <f>D4-S4</f>
        <v>4</v>
      </c>
      <c r="U4" s="929"/>
    </row>
    <row r="5" spans="1:21" s="174" customFormat="1">
      <c r="A5" s="949">
        <v>2</v>
      </c>
      <c r="B5" s="950" t="s">
        <v>2877</v>
      </c>
      <c r="C5" s="950" t="s">
        <v>2878</v>
      </c>
      <c r="D5" s="471">
        <v>2</v>
      </c>
      <c r="E5" s="951" t="s">
        <v>286</v>
      </c>
      <c r="F5" s="952"/>
      <c r="G5" s="952"/>
      <c r="H5" s="952">
        <v>2</v>
      </c>
      <c r="I5" s="952"/>
      <c r="J5" s="952"/>
      <c r="K5" s="929">
        <v>1000000</v>
      </c>
      <c r="L5" s="933">
        <f>K5*D5</f>
        <v>2000000</v>
      </c>
      <c r="M5" s="930">
        <f>K5*G5</f>
        <v>0</v>
      </c>
      <c r="N5" s="931">
        <f t="shared" ref="N5:N61" si="0">K5*H5</f>
        <v>2000000</v>
      </c>
      <c r="O5" s="953">
        <f t="shared" ref="O5:O61" si="1">K5*I5</f>
        <v>0</v>
      </c>
      <c r="P5" s="932">
        <f t="shared" ref="P5:P61" si="2">K5*J5</f>
        <v>0</v>
      </c>
      <c r="Q5" s="965"/>
      <c r="R5" s="965"/>
      <c r="S5" s="965"/>
      <c r="T5" s="969">
        <f t="shared" ref="T5:T61" si="3">D5-S5</f>
        <v>2</v>
      </c>
      <c r="U5" s="929"/>
    </row>
    <row r="6" spans="1:21" s="174" customFormat="1">
      <c r="A6" s="949">
        <v>3</v>
      </c>
      <c r="B6" s="950" t="s">
        <v>2879</v>
      </c>
      <c r="C6" s="950" t="s">
        <v>2880</v>
      </c>
      <c r="D6" s="471">
        <v>2</v>
      </c>
      <c r="E6" s="951" t="s">
        <v>286</v>
      </c>
      <c r="F6" s="952"/>
      <c r="G6" s="952"/>
      <c r="H6" s="952">
        <v>2</v>
      </c>
      <c r="I6" s="952"/>
      <c r="J6" s="952"/>
      <c r="K6" s="929">
        <v>750000</v>
      </c>
      <c r="L6" s="933">
        <v>1500000</v>
      </c>
      <c r="M6" s="930">
        <f>K6*G6</f>
        <v>0</v>
      </c>
      <c r="N6" s="931">
        <f t="shared" si="0"/>
        <v>1500000</v>
      </c>
      <c r="O6" s="953">
        <f t="shared" si="1"/>
        <v>0</v>
      </c>
      <c r="P6" s="932">
        <f t="shared" si="2"/>
        <v>0</v>
      </c>
      <c r="Q6" s="965"/>
      <c r="R6" s="965"/>
      <c r="S6" s="965"/>
      <c r="T6" s="969">
        <f t="shared" si="3"/>
        <v>2</v>
      </c>
      <c r="U6" s="929"/>
    </row>
    <row r="7" spans="1:21">
      <c r="A7" s="1214" t="s">
        <v>1796</v>
      </c>
      <c r="B7" s="1215"/>
      <c r="C7" s="1215"/>
      <c r="D7" s="1215"/>
      <c r="E7" s="1215"/>
      <c r="F7" s="1215"/>
      <c r="G7" s="1215"/>
      <c r="H7" s="1215"/>
      <c r="I7" s="1215"/>
      <c r="J7" s="1216"/>
      <c r="K7" s="954"/>
      <c r="L7" s="946" t="e">
        <f>SUM(L8:L24)</f>
        <v>#VALUE!</v>
      </c>
      <c r="M7" s="955">
        <f t="shared" ref="M7:M61" si="4">K7*G7</f>
        <v>0</v>
      </c>
      <c r="N7" s="948">
        <f>SUM(N8:N24)</f>
        <v>172910988.20200002</v>
      </c>
      <c r="O7" s="947">
        <f>SUM(O8:O24)</f>
        <v>126389050.69599999</v>
      </c>
      <c r="P7" s="947">
        <f>SUM(P8:P24)</f>
        <v>87628277.361000001</v>
      </c>
      <c r="Q7" s="965"/>
      <c r="R7" s="965"/>
      <c r="S7" s="965"/>
      <c r="T7" s="969"/>
      <c r="U7" s="929"/>
    </row>
    <row r="8" spans="1:21">
      <c r="A8" s="949">
        <v>4</v>
      </c>
      <c r="B8" s="956" t="s">
        <v>2014</v>
      </c>
      <c r="C8" s="957" t="s">
        <v>2015</v>
      </c>
      <c r="D8" s="117">
        <v>0.19</v>
      </c>
      <c r="E8" s="951" t="s">
        <v>89</v>
      </c>
      <c r="F8" s="952" t="s">
        <v>2016</v>
      </c>
      <c r="G8" s="952"/>
      <c r="H8" s="952">
        <v>0.19</v>
      </c>
      <c r="I8" s="952"/>
      <c r="J8" s="952"/>
      <c r="K8" s="958">
        <v>27920200</v>
      </c>
      <c r="L8" s="933">
        <f t="shared" ref="L8:L61" si="5">K8*D8</f>
        <v>5304838</v>
      </c>
      <c r="M8" s="930">
        <f t="shared" si="4"/>
        <v>0</v>
      </c>
      <c r="N8" s="931">
        <f t="shared" si="0"/>
        <v>5304838</v>
      </c>
      <c r="O8" s="953">
        <f t="shared" si="1"/>
        <v>0</v>
      </c>
      <c r="P8" s="932">
        <f t="shared" si="2"/>
        <v>0</v>
      </c>
      <c r="Q8" s="965"/>
      <c r="R8" s="965"/>
      <c r="S8" s="965"/>
      <c r="T8" s="969">
        <f t="shared" si="3"/>
        <v>0.19</v>
      </c>
      <c r="U8" s="929"/>
    </row>
    <row r="9" spans="1:21">
      <c r="A9" s="949">
        <v>5</v>
      </c>
      <c r="B9" s="956" t="s">
        <v>1798</v>
      </c>
      <c r="C9" s="957" t="s">
        <v>2015</v>
      </c>
      <c r="D9" s="959">
        <v>1.6</v>
      </c>
      <c r="E9" s="951" t="s">
        <v>89</v>
      </c>
      <c r="F9" s="952" t="s">
        <v>2017</v>
      </c>
      <c r="G9" s="952"/>
      <c r="H9" s="952">
        <v>0.59299999999999997</v>
      </c>
      <c r="I9" s="952">
        <v>0.59299999999999997</v>
      </c>
      <c r="J9" s="952">
        <v>0.41399999999999998</v>
      </c>
      <c r="K9" s="958">
        <v>25696825</v>
      </c>
      <c r="L9" s="933">
        <f t="shared" si="5"/>
        <v>41114920</v>
      </c>
      <c r="M9" s="930">
        <f t="shared" si="4"/>
        <v>0</v>
      </c>
      <c r="N9" s="931">
        <f t="shared" si="0"/>
        <v>15238217.225</v>
      </c>
      <c r="O9" s="953">
        <f t="shared" si="1"/>
        <v>15238217.225</v>
      </c>
      <c r="P9" s="932">
        <f t="shared" si="2"/>
        <v>10638485.549999999</v>
      </c>
      <c r="Q9" s="965"/>
      <c r="R9" s="965"/>
      <c r="S9" s="965"/>
      <c r="T9" s="969">
        <f t="shared" si="3"/>
        <v>1.6</v>
      </c>
      <c r="U9" s="929"/>
    </row>
    <row r="10" spans="1:21">
      <c r="A10" s="949">
        <v>6</v>
      </c>
      <c r="B10" s="956" t="s">
        <v>1799</v>
      </c>
      <c r="C10" s="957" t="s">
        <v>2018</v>
      </c>
      <c r="D10" s="117">
        <v>0.53</v>
      </c>
      <c r="E10" s="951" t="s">
        <v>89</v>
      </c>
      <c r="F10" s="952" t="s">
        <v>2019</v>
      </c>
      <c r="G10" s="952"/>
      <c r="H10" s="952">
        <v>0.29899999999999999</v>
      </c>
      <c r="I10" s="952">
        <v>0.23100000000000001</v>
      </c>
      <c r="J10" s="952"/>
      <c r="K10" s="958">
        <v>24371424</v>
      </c>
      <c r="L10" s="933">
        <f t="shared" si="5"/>
        <v>12916854.720000001</v>
      </c>
      <c r="M10" s="930">
        <f t="shared" si="4"/>
        <v>0</v>
      </c>
      <c r="N10" s="931">
        <f t="shared" si="0"/>
        <v>7287055.7759999996</v>
      </c>
      <c r="O10" s="953">
        <f t="shared" si="1"/>
        <v>5629798.9440000001</v>
      </c>
      <c r="P10" s="932">
        <f t="shared" si="2"/>
        <v>0</v>
      </c>
      <c r="Q10" s="965"/>
      <c r="R10" s="965"/>
      <c r="S10" s="965"/>
      <c r="T10" s="969">
        <f t="shared" si="3"/>
        <v>0.53</v>
      </c>
      <c r="U10" s="929"/>
    </row>
    <row r="11" spans="1:21">
      <c r="A11" s="949">
        <v>7</v>
      </c>
      <c r="B11" s="956" t="s">
        <v>1801</v>
      </c>
      <c r="C11" s="957" t="s">
        <v>2015</v>
      </c>
      <c r="D11" s="960">
        <v>0.23799999999999999</v>
      </c>
      <c r="E11" s="951" t="s">
        <v>89</v>
      </c>
      <c r="F11" s="952" t="s">
        <v>2020</v>
      </c>
      <c r="G11" s="952"/>
      <c r="H11" s="960">
        <v>0.23799999999999999</v>
      </c>
      <c r="I11" s="952"/>
      <c r="J11" s="952"/>
      <c r="K11" s="958">
        <v>23623292</v>
      </c>
      <c r="L11" s="933">
        <f t="shared" si="5"/>
        <v>5622343.4959999993</v>
      </c>
      <c r="M11" s="930">
        <f t="shared" si="4"/>
        <v>0</v>
      </c>
      <c r="N11" s="931">
        <f t="shared" si="0"/>
        <v>5622343.4959999993</v>
      </c>
      <c r="O11" s="953">
        <f t="shared" si="1"/>
        <v>0</v>
      </c>
      <c r="P11" s="932">
        <f t="shared" si="2"/>
        <v>0</v>
      </c>
      <c r="Q11" s="965"/>
      <c r="R11" s="965"/>
      <c r="S11" s="965"/>
      <c r="T11" s="969">
        <f t="shared" si="3"/>
        <v>0.23799999999999999</v>
      </c>
      <c r="U11" s="929"/>
    </row>
    <row r="12" spans="1:21">
      <c r="A12" s="949">
        <v>8</v>
      </c>
      <c r="B12" s="956" t="s">
        <v>1797</v>
      </c>
      <c r="C12" s="957" t="s">
        <v>1804</v>
      </c>
      <c r="D12" s="117">
        <v>1.59</v>
      </c>
      <c r="E12" s="951" t="s">
        <v>89</v>
      </c>
      <c r="F12" s="952" t="s">
        <v>2021</v>
      </c>
      <c r="G12" s="952"/>
      <c r="H12" s="952">
        <v>0.53</v>
      </c>
      <c r="I12" s="952">
        <v>0.53</v>
      </c>
      <c r="J12" s="952">
        <v>0.53</v>
      </c>
      <c r="K12" s="958">
        <v>23580172</v>
      </c>
      <c r="L12" s="933">
        <f t="shared" si="5"/>
        <v>37492473.480000004</v>
      </c>
      <c r="M12" s="930">
        <f t="shared" si="4"/>
        <v>0</v>
      </c>
      <c r="N12" s="931">
        <f t="shared" si="0"/>
        <v>12497491.16</v>
      </c>
      <c r="O12" s="953">
        <f t="shared" si="1"/>
        <v>12497491.16</v>
      </c>
      <c r="P12" s="932">
        <f t="shared" si="2"/>
        <v>12497491.16</v>
      </c>
      <c r="Q12" s="965"/>
      <c r="R12" s="965"/>
      <c r="S12" s="965"/>
      <c r="T12" s="969">
        <f t="shared" si="3"/>
        <v>1.59</v>
      </c>
      <c r="U12" s="929"/>
    </row>
    <row r="13" spans="1:21">
      <c r="A13" s="949">
        <v>9</v>
      </c>
      <c r="B13" s="956" t="s">
        <v>1805</v>
      </c>
      <c r="C13" s="957" t="s">
        <v>1806</v>
      </c>
      <c r="D13" s="960">
        <v>1.486</v>
      </c>
      <c r="E13" s="951" t="s">
        <v>89</v>
      </c>
      <c r="F13" s="952" t="s">
        <v>2022</v>
      </c>
      <c r="G13" s="952"/>
      <c r="H13" s="952">
        <v>0.52800000000000002</v>
      </c>
      <c r="I13" s="952">
        <v>0.47899999999999998</v>
      </c>
      <c r="J13" s="952">
        <v>0.47899999999999998</v>
      </c>
      <c r="K13" s="958">
        <v>23702525</v>
      </c>
      <c r="L13" s="933">
        <f t="shared" si="5"/>
        <v>35221952.149999999</v>
      </c>
      <c r="M13" s="930">
        <f t="shared" si="4"/>
        <v>0</v>
      </c>
      <c r="N13" s="931">
        <f t="shared" si="0"/>
        <v>12514933.200000001</v>
      </c>
      <c r="O13" s="953">
        <f t="shared" si="1"/>
        <v>11353509.475</v>
      </c>
      <c r="P13" s="932">
        <f t="shared" si="2"/>
        <v>11353509.475</v>
      </c>
      <c r="Q13" s="965"/>
      <c r="R13" s="965"/>
      <c r="S13" s="965"/>
      <c r="T13" s="969">
        <f t="shared" si="3"/>
        <v>1.486</v>
      </c>
      <c r="U13" s="929"/>
    </row>
    <row r="14" spans="1:21">
      <c r="A14" s="949">
        <v>10</v>
      </c>
      <c r="B14" s="956" t="s">
        <v>1798</v>
      </c>
      <c r="C14" s="957" t="s">
        <v>1807</v>
      </c>
      <c r="D14" s="960">
        <v>0.88700000000000001</v>
      </c>
      <c r="E14" s="951" t="s">
        <v>89</v>
      </c>
      <c r="F14" s="952" t="s">
        <v>2023</v>
      </c>
      <c r="G14" s="952"/>
      <c r="H14" s="952">
        <v>0.29599999999999999</v>
      </c>
      <c r="I14" s="952">
        <v>0.29599999999999999</v>
      </c>
      <c r="J14" s="952">
        <v>0.29499999999999998</v>
      </c>
      <c r="K14" s="958">
        <v>23470216</v>
      </c>
      <c r="L14" s="933">
        <f t="shared" si="5"/>
        <v>20818081.592</v>
      </c>
      <c r="M14" s="930">
        <f t="shared" si="4"/>
        <v>0</v>
      </c>
      <c r="N14" s="931">
        <f t="shared" si="0"/>
        <v>6947183.9359999998</v>
      </c>
      <c r="O14" s="953">
        <f t="shared" si="1"/>
        <v>6947183.9359999998</v>
      </c>
      <c r="P14" s="932">
        <f t="shared" si="2"/>
        <v>6923713.7199999997</v>
      </c>
      <c r="Q14" s="965"/>
      <c r="R14" s="965"/>
      <c r="S14" s="965"/>
      <c r="T14" s="969">
        <f t="shared" si="3"/>
        <v>0.88700000000000001</v>
      </c>
      <c r="U14" s="929"/>
    </row>
    <row r="15" spans="1:21">
      <c r="A15" s="949">
        <v>11</v>
      </c>
      <c r="B15" s="956" t="s">
        <v>1799</v>
      </c>
      <c r="C15" s="957" t="s">
        <v>1808</v>
      </c>
      <c r="D15" s="959">
        <v>0.6</v>
      </c>
      <c r="E15" s="951" t="s">
        <v>89</v>
      </c>
      <c r="F15" s="952" t="s">
        <v>2024</v>
      </c>
      <c r="G15" s="952"/>
      <c r="H15" s="952">
        <v>0.3</v>
      </c>
      <c r="I15" s="952">
        <v>0.3</v>
      </c>
      <c r="J15" s="952"/>
      <c r="K15" s="958">
        <v>23702525</v>
      </c>
      <c r="L15" s="933">
        <f t="shared" si="5"/>
        <v>14221515</v>
      </c>
      <c r="M15" s="930">
        <f t="shared" si="4"/>
        <v>0</v>
      </c>
      <c r="N15" s="931">
        <f t="shared" si="0"/>
        <v>7110757.5</v>
      </c>
      <c r="O15" s="953">
        <f t="shared" si="1"/>
        <v>7110757.5</v>
      </c>
      <c r="P15" s="932">
        <f t="shared" si="2"/>
        <v>0</v>
      </c>
      <c r="Q15" s="965"/>
      <c r="R15" s="965"/>
      <c r="S15" s="965"/>
      <c r="T15" s="969">
        <f t="shared" si="3"/>
        <v>0.6</v>
      </c>
      <c r="U15" s="929"/>
    </row>
    <row r="16" spans="1:21">
      <c r="A16" s="949">
        <v>12</v>
      </c>
      <c r="B16" s="956" t="s">
        <v>1809</v>
      </c>
      <c r="C16" s="957" t="s">
        <v>1810</v>
      </c>
      <c r="D16" s="960">
        <v>0.27700000000000002</v>
      </c>
      <c r="E16" s="951" t="s">
        <v>89</v>
      </c>
      <c r="F16" s="952" t="s">
        <v>2025</v>
      </c>
      <c r="G16" s="952"/>
      <c r="H16" s="952">
        <v>0.27700000000000002</v>
      </c>
      <c r="I16" s="952"/>
      <c r="J16" s="952"/>
      <c r="K16" s="958">
        <v>23702525</v>
      </c>
      <c r="L16" s="933">
        <f t="shared" si="5"/>
        <v>6565599.4250000007</v>
      </c>
      <c r="M16" s="930">
        <f t="shared" si="4"/>
        <v>0</v>
      </c>
      <c r="N16" s="931">
        <f t="shared" si="0"/>
        <v>6565599.4250000007</v>
      </c>
      <c r="O16" s="953">
        <f t="shared" si="1"/>
        <v>0</v>
      </c>
      <c r="P16" s="932">
        <f t="shared" si="2"/>
        <v>0</v>
      </c>
      <c r="Q16" s="965"/>
      <c r="R16" s="965"/>
      <c r="S16" s="965"/>
      <c r="T16" s="969">
        <f t="shared" si="3"/>
        <v>0.27700000000000002</v>
      </c>
      <c r="U16" s="929"/>
    </row>
    <row r="17" spans="1:21">
      <c r="A17" s="949">
        <v>13</v>
      </c>
      <c r="B17" s="956" t="s">
        <v>1800</v>
      </c>
      <c r="C17" s="957" t="s">
        <v>1811</v>
      </c>
      <c r="D17" s="960">
        <v>0.93100000000000005</v>
      </c>
      <c r="E17" s="951" t="s">
        <v>89</v>
      </c>
      <c r="F17" s="952" t="s">
        <v>2026</v>
      </c>
      <c r="G17" s="952"/>
      <c r="H17" s="952">
        <v>0.39900000000000002</v>
      </c>
      <c r="I17" s="952">
        <v>0.26600000000000001</v>
      </c>
      <c r="J17" s="952">
        <v>0.26600000000000001</v>
      </c>
      <c r="K17" s="958">
        <v>23470216</v>
      </c>
      <c r="L17" s="933">
        <f t="shared" si="5"/>
        <v>21850771.096000001</v>
      </c>
      <c r="M17" s="930">
        <f t="shared" si="4"/>
        <v>0</v>
      </c>
      <c r="N17" s="931">
        <f t="shared" si="0"/>
        <v>9364616.1840000004</v>
      </c>
      <c r="O17" s="953">
        <f t="shared" si="1"/>
        <v>6243077.4560000002</v>
      </c>
      <c r="P17" s="932">
        <f t="shared" si="2"/>
        <v>6243077.4560000002</v>
      </c>
      <c r="Q17" s="965"/>
      <c r="R17" s="965"/>
      <c r="S17" s="965"/>
      <c r="T17" s="969">
        <f t="shared" si="3"/>
        <v>0.93100000000000005</v>
      </c>
      <c r="U17" s="929"/>
    </row>
    <row r="18" spans="1:21">
      <c r="A18" s="949">
        <v>14</v>
      </c>
      <c r="B18" s="956" t="s">
        <v>1812</v>
      </c>
      <c r="C18" s="957" t="s">
        <v>1813</v>
      </c>
      <c r="D18" s="117">
        <v>0.36</v>
      </c>
      <c r="E18" s="951" t="s">
        <v>89</v>
      </c>
      <c r="F18" s="952" t="s">
        <v>2027</v>
      </c>
      <c r="G18" s="952"/>
      <c r="H18" s="952">
        <v>0.36</v>
      </c>
      <c r="I18" s="952"/>
      <c r="J18" s="952"/>
      <c r="K18" s="958">
        <v>25050025</v>
      </c>
      <c r="L18" s="933">
        <f t="shared" si="5"/>
        <v>9018009</v>
      </c>
      <c r="M18" s="930">
        <f t="shared" si="4"/>
        <v>0</v>
      </c>
      <c r="N18" s="931">
        <f t="shared" si="0"/>
        <v>9018009</v>
      </c>
      <c r="O18" s="953">
        <f t="shared" si="1"/>
        <v>0</v>
      </c>
      <c r="P18" s="932">
        <f t="shared" si="2"/>
        <v>0</v>
      </c>
      <c r="Q18" s="965"/>
      <c r="R18" s="965"/>
      <c r="S18" s="965"/>
      <c r="T18" s="969">
        <f t="shared" si="3"/>
        <v>0.36</v>
      </c>
      <c r="U18" s="929"/>
    </row>
    <row r="19" spans="1:21">
      <c r="A19" s="949">
        <v>15</v>
      </c>
      <c r="B19" s="956" t="s">
        <v>1801</v>
      </c>
      <c r="C19" s="957" t="s">
        <v>1814</v>
      </c>
      <c r="D19" s="960">
        <v>0.23599999999999999</v>
      </c>
      <c r="E19" s="951" t="s">
        <v>89</v>
      </c>
      <c r="F19" s="952" t="s">
        <v>2028</v>
      </c>
      <c r="G19" s="952"/>
      <c r="H19" s="952">
        <v>0.23599999999999999</v>
      </c>
      <c r="I19" s="952"/>
      <c r="J19" s="952"/>
      <c r="K19" s="958">
        <v>24995025</v>
      </c>
      <c r="L19" s="933">
        <f t="shared" si="5"/>
        <v>5898825.8999999994</v>
      </c>
      <c r="M19" s="930">
        <f t="shared" si="4"/>
        <v>0</v>
      </c>
      <c r="N19" s="931">
        <f t="shared" si="0"/>
        <v>5898825.8999999994</v>
      </c>
      <c r="O19" s="953">
        <f t="shared" si="1"/>
        <v>0</v>
      </c>
      <c r="P19" s="932">
        <f t="shared" si="2"/>
        <v>0</v>
      </c>
      <c r="Q19" s="965"/>
      <c r="R19" s="965"/>
      <c r="S19" s="965"/>
      <c r="T19" s="969">
        <f t="shared" si="3"/>
        <v>0.23599999999999999</v>
      </c>
      <c r="U19" s="929"/>
    </row>
    <row r="20" spans="1:21">
      <c r="A20" s="949">
        <v>16</v>
      </c>
      <c r="B20" s="956" t="s">
        <v>1802</v>
      </c>
      <c r="C20" s="957" t="s">
        <v>1815</v>
      </c>
      <c r="D20" s="117">
        <v>1.2</v>
      </c>
      <c r="E20" s="951" t="s">
        <v>89</v>
      </c>
      <c r="F20" s="952" t="s">
        <v>2029</v>
      </c>
      <c r="G20" s="952"/>
      <c r="H20" s="952">
        <v>0.6</v>
      </c>
      <c r="I20" s="952">
        <v>0.6</v>
      </c>
      <c r="J20" s="952"/>
      <c r="K20" s="958">
        <v>24995025</v>
      </c>
      <c r="L20" s="933">
        <f t="shared" si="5"/>
        <v>29994030</v>
      </c>
      <c r="M20" s="930">
        <f t="shared" si="4"/>
        <v>0</v>
      </c>
      <c r="N20" s="931">
        <f t="shared" si="0"/>
        <v>14997015</v>
      </c>
      <c r="O20" s="953">
        <f t="shared" si="1"/>
        <v>14997015</v>
      </c>
      <c r="P20" s="932">
        <f t="shared" si="2"/>
        <v>0</v>
      </c>
      <c r="Q20" s="965"/>
      <c r="R20" s="965"/>
      <c r="S20" s="965"/>
      <c r="T20" s="969">
        <f t="shared" si="3"/>
        <v>1.2</v>
      </c>
      <c r="U20" s="929"/>
    </row>
    <row r="21" spans="1:21">
      <c r="A21" s="949">
        <v>17</v>
      </c>
      <c r="B21" s="956" t="s">
        <v>1803</v>
      </c>
      <c r="C21" s="957" t="s">
        <v>1816</v>
      </c>
      <c r="D21" s="960">
        <v>0.36799999999999999</v>
      </c>
      <c r="E21" s="951" t="s">
        <v>89</v>
      </c>
      <c r="F21" s="952" t="s">
        <v>2030</v>
      </c>
      <c r="G21" s="952"/>
      <c r="H21" s="952">
        <v>0.36799999999999999</v>
      </c>
      <c r="I21" s="952"/>
      <c r="J21" s="952"/>
      <c r="K21" s="958">
        <v>22206800</v>
      </c>
      <c r="L21" s="933">
        <f t="shared" si="5"/>
        <v>8172102.3999999994</v>
      </c>
      <c r="M21" s="930">
        <f t="shared" si="4"/>
        <v>0</v>
      </c>
      <c r="N21" s="931">
        <f t="shared" si="0"/>
        <v>8172102.3999999994</v>
      </c>
      <c r="O21" s="953">
        <f t="shared" si="1"/>
        <v>0</v>
      </c>
      <c r="P21" s="932">
        <f t="shared" si="2"/>
        <v>0</v>
      </c>
      <c r="Q21" s="965"/>
      <c r="R21" s="965"/>
      <c r="S21" s="965"/>
      <c r="T21" s="969">
        <f t="shared" si="3"/>
        <v>0.36799999999999999</v>
      </c>
      <c r="U21" s="929"/>
    </row>
    <row r="22" spans="1:21">
      <c r="A22" s="949">
        <v>18</v>
      </c>
      <c r="B22" s="956" t="s">
        <v>1817</v>
      </c>
      <c r="C22" s="957" t="s">
        <v>1818</v>
      </c>
      <c r="D22" s="117">
        <v>0.18</v>
      </c>
      <c r="E22" s="951" t="s">
        <v>89</v>
      </c>
      <c r="F22" s="952" t="s">
        <v>2031</v>
      </c>
      <c r="G22" s="952"/>
      <c r="H22" s="952">
        <v>0.06</v>
      </c>
      <c r="I22" s="952">
        <v>0.06</v>
      </c>
      <c r="J22" s="952">
        <v>0.06</v>
      </c>
      <c r="K22" s="929">
        <v>26200000</v>
      </c>
      <c r="L22" s="933">
        <f t="shared" si="5"/>
        <v>4716000</v>
      </c>
      <c r="M22" s="930">
        <f t="shared" si="4"/>
        <v>0</v>
      </c>
      <c r="N22" s="931">
        <f t="shared" si="0"/>
        <v>1572000</v>
      </c>
      <c r="O22" s="953">
        <f t="shared" si="1"/>
        <v>1572000</v>
      </c>
      <c r="P22" s="932">
        <f t="shared" si="2"/>
        <v>1572000</v>
      </c>
      <c r="Q22" s="965"/>
      <c r="R22" s="965"/>
      <c r="S22" s="965"/>
      <c r="T22" s="969">
        <f t="shared" si="3"/>
        <v>0.18</v>
      </c>
      <c r="U22" s="929"/>
    </row>
    <row r="23" spans="1:21" ht="38.25">
      <c r="A23" s="949">
        <v>19</v>
      </c>
      <c r="B23" s="950" t="s">
        <v>2032</v>
      </c>
      <c r="C23" s="956" t="s">
        <v>2033</v>
      </c>
      <c r="D23" s="950">
        <v>20</v>
      </c>
      <c r="E23" s="961" t="s">
        <v>286</v>
      </c>
      <c r="F23" s="952" t="s">
        <v>2034</v>
      </c>
      <c r="G23" s="952"/>
      <c r="H23" s="952">
        <v>7</v>
      </c>
      <c r="I23" s="952">
        <v>7</v>
      </c>
      <c r="J23" s="952">
        <v>6</v>
      </c>
      <c r="K23" s="929">
        <v>6000000</v>
      </c>
      <c r="L23" s="933" t="e">
        <f>K23*E23</f>
        <v>#VALUE!</v>
      </c>
      <c r="M23" s="930">
        <f t="shared" si="4"/>
        <v>0</v>
      </c>
      <c r="N23" s="931">
        <f t="shared" si="0"/>
        <v>42000000</v>
      </c>
      <c r="O23" s="953">
        <f t="shared" si="1"/>
        <v>42000000</v>
      </c>
      <c r="P23" s="932">
        <f t="shared" si="2"/>
        <v>36000000</v>
      </c>
      <c r="Q23" s="965"/>
      <c r="R23" s="965"/>
      <c r="S23" s="965"/>
      <c r="T23" s="969">
        <f t="shared" si="3"/>
        <v>20</v>
      </c>
      <c r="U23" s="929"/>
    </row>
    <row r="24" spans="1:21" ht="25.5">
      <c r="A24" s="949">
        <v>20</v>
      </c>
      <c r="B24" s="950" t="s">
        <v>2035</v>
      </c>
      <c r="C24" s="956" t="s">
        <v>2036</v>
      </c>
      <c r="D24" s="950">
        <v>20</v>
      </c>
      <c r="E24" s="961" t="s">
        <v>286</v>
      </c>
      <c r="F24" s="952" t="s">
        <v>2037</v>
      </c>
      <c r="G24" s="952"/>
      <c r="H24" s="952">
        <v>7</v>
      </c>
      <c r="I24" s="952">
        <v>7</v>
      </c>
      <c r="J24" s="952">
        <v>6</v>
      </c>
      <c r="K24" s="929">
        <v>400000</v>
      </c>
      <c r="L24" s="933" t="e">
        <f>K24*E24</f>
        <v>#VALUE!</v>
      </c>
      <c r="M24" s="930">
        <f t="shared" si="4"/>
        <v>0</v>
      </c>
      <c r="N24" s="931">
        <f t="shared" si="0"/>
        <v>2800000</v>
      </c>
      <c r="O24" s="953">
        <f t="shared" si="1"/>
        <v>2800000</v>
      </c>
      <c r="P24" s="932">
        <f t="shared" si="2"/>
        <v>2400000</v>
      </c>
      <c r="Q24" s="965"/>
      <c r="R24" s="965"/>
      <c r="S24" s="965"/>
      <c r="T24" s="969">
        <f t="shared" si="3"/>
        <v>20</v>
      </c>
      <c r="U24" s="929"/>
    </row>
    <row r="25" spans="1:21">
      <c r="A25" s="1214" t="s">
        <v>1819</v>
      </c>
      <c r="B25" s="1215"/>
      <c r="C25" s="1215"/>
      <c r="D25" s="1215"/>
      <c r="E25" s="1215"/>
      <c r="F25" s="1215"/>
      <c r="G25" s="1215"/>
      <c r="H25" s="1215"/>
      <c r="I25" s="1215"/>
      <c r="J25" s="1216"/>
      <c r="K25" s="954"/>
      <c r="L25" s="946">
        <f>SUM(L26:L28)</f>
        <v>50050000</v>
      </c>
      <c r="M25" s="955">
        <f t="shared" si="4"/>
        <v>0</v>
      </c>
      <c r="N25" s="948">
        <f>SUM(N26:N28)</f>
        <v>27300000</v>
      </c>
      <c r="O25" s="947">
        <f>SUM(O26:O28)</f>
        <v>22750000</v>
      </c>
      <c r="P25" s="955">
        <f t="shared" si="2"/>
        <v>0</v>
      </c>
      <c r="Q25" s="965"/>
      <c r="R25" s="965"/>
      <c r="S25" s="965"/>
      <c r="T25" s="969"/>
      <c r="U25" s="929"/>
    </row>
    <row r="26" spans="1:21">
      <c r="A26" s="949">
        <v>21</v>
      </c>
      <c r="B26" s="956" t="s">
        <v>1820</v>
      </c>
      <c r="C26" s="957" t="s">
        <v>1821</v>
      </c>
      <c r="D26" s="959">
        <v>0.5</v>
      </c>
      <c r="E26" s="951" t="s">
        <v>89</v>
      </c>
      <c r="F26" s="952" t="s">
        <v>2038</v>
      </c>
      <c r="G26" s="952"/>
      <c r="H26" s="952">
        <v>0.5</v>
      </c>
      <c r="I26" s="952"/>
      <c r="J26" s="952"/>
      <c r="K26" s="929">
        <v>9100000</v>
      </c>
      <c r="L26" s="933">
        <f t="shared" si="5"/>
        <v>4550000</v>
      </c>
      <c r="M26" s="930">
        <f t="shared" si="4"/>
        <v>0</v>
      </c>
      <c r="N26" s="931">
        <f t="shared" si="0"/>
        <v>4550000</v>
      </c>
      <c r="O26" s="953">
        <f t="shared" si="1"/>
        <v>0</v>
      </c>
      <c r="P26" s="932">
        <f t="shared" si="2"/>
        <v>0</v>
      </c>
      <c r="Q26" s="965"/>
      <c r="R26" s="965"/>
      <c r="S26" s="965"/>
      <c r="T26" s="969">
        <f t="shared" si="3"/>
        <v>0.5</v>
      </c>
      <c r="U26" s="929"/>
    </row>
    <row r="27" spans="1:21">
      <c r="A27" s="949">
        <v>22</v>
      </c>
      <c r="B27" s="956" t="s">
        <v>1822</v>
      </c>
      <c r="C27" s="957" t="s">
        <v>1823</v>
      </c>
      <c r="D27" s="471">
        <v>3</v>
      </c>
      <c r="E27" s="951" t="s">
        <v>89</v>
      </c>
      <c r="F27" s="952" t="s">
        <v>2039</v>
      </c>
      <c r="G27" s="952"/>
      <c r="H27" s="952">
        <v>1.5</v>
      </c>
      <c r="I27" s="952">
        <v>1.5</v>
      </c>
      <c r="J27" s="952"/>
      <c r="K27" s="929">
        <v>9100000</v>
      </c>
      <c r="L27" s="933">
        <f t="shared" si="5"/>
        <v>27300000</v>
      </c>
      <c r="M27" s="930">
        <f t="shared" si="4"/>
        <v>0</v>
      </c>
      <c r="N27" s="931">
        <f t="shared" si="0"/>
        <v>13650000</v>
      </c>
      <c r="O27" s="953">
        <f t="shared" si="1"/>
        <v>13650000</v>
      </c>
      <c r="P27" s="932">
        <f t="shared" si="2"/>
        <v>0</v>
      </c>
      <c r="Q27" s="965"/>
      <c r="R27" s="965"/>
      <c r="S27" s="965"/>
      <c r="T27" s="969">
        <f t="shared" si="3"/>
        <v>3</v>
      </c>
      <c r="U27" s="929"/>
    </row>
    <row r="28" spans="1:21">
      <c r="A28" s="949">
        <v>23</v>
      </c>
      <c r="B28" s="956" t="s">
        <v>1824</v>
      </c>
      <c r="C28" s="957" t="s">
        <v>1823</v>
      </c>
      <c r="D28" s="471">
        <v>2</v>
      </c>
      <c r="E28" s="951" t="s">
        <v>89</v>
      </c>
      <c r="F28" s="952" t="s">
        <v>2040</v>
      </c>
      <c r="G28" s="952"/>
      <c r="H28" s="952">
        <v>1</v>
      </c>
      <c r="I28" s="952">
        <v>1</v>
      </c>
      <c r="J28" s="952"/>
      <c r="K28" s="929">
        <v>9100000</v>
      </c>
      <c r="L28" s="933">
        <f t="shared" si="5"/>
        <v>18200000</v>
      </c>
      <c r="M28" s="930">
        <f t="shared" si="4"/>
        <v>0</v>
      </c>
      <c r="N28" s="931">
        <f t="shared" si="0"/>
        <v>9100000</v>
      </c>
      <c r="O28" s="953">
        <f t="shared" si="1"/>
        <v>9100000</v>
      </c>
      <c r="P28" s="932">
        <f t="shared" si="2"/>
        <v>0</v>
      </c>
      <c r="Q28" s="965"/>
      <c r="R28" s="965"/>
      <c r="S28" s="965"/>
      <c r="T28" s="969">
        <f t="shared" si="3"/>
        <v>2</v>
      </c>
      <c r="U28" s="929"/>
    </row>
    <row r="29" spans="1:21">
      <c r="A29" s="1214" t="s">
        <v>1825</v>
      </c>
      <c r="B29" s="1215"/>
      <c r="C29" s="1215"/>
      <c r="D29" s="1215"/>
      <c r="E29" s="1215"/>
      <c r="F29" s="1215"/>
      <c r="G29" s="1215"/>
      <c r="H29" s="1215"/>
      <c r="I29" s="1215"/>
      <c r="J29" s="1216"/>
      <c r="K29" s="954"/>
      <c r="L29" s="946">
        <f>SUM(L30:L34)</f>
        <v>99143616</v>
      </c>
      <c r="M29" s="955">
        <f t="shared" si="4"/>
        <v>0</v>
      </c>
      <c r="N29" s="948">
        <f>SUM(N30:N34)</f>
        <v>82564416</v>
      </c>
      <c r="O29" s="947">
        <f>SUM(O30:O34)</f>
        <v>16579200</v>
      </c>
      <c r="P29" s="955">
        <f t="shared" si="2"/>
        <v>0</v>
      </c>
      <c r="Q29" s="965"/>
      <c r="R29" s="965"/>
      <c r="S29" s="965"/>
      <c r="T29" s="969"/>
      <c r="U29" s="929"/>
    </row>
    <row r="30" spans="1:21">
      <c r="A30" s="949">
        <v>24</v>
      </c>
      <c r="B30" s="956" t="s">
        <v>1826</v>
      </c>
      <c r="C30" s="957" t="s">
        <v>1827</v>
      </c>
      <c r="D30" s="117">
        <v>1.9</v>
      </c>
      <c r="E30" s="951" t="s">
        <v>89</v>
      </c>
      <c r="F30" s="952" t="s">
        <v>2041</v>
      </c>
      <c r="G30" s="952"/>
      <c r="H30" s="952">
        <v>1.9</v>
      </c>
      <c r="I30" s="952"/>
      <c r="J30" s="952"/>
      <c r="K30" s="929">
        <v>20724000</v>
      </c>
      <c r="L30" s="933">
        <f t="shared" si="5"/>
        <v>39375600</v>
      </c>
      <c r="M30" s="930">
        <f t="shared" si="4"/>
        <v>0</v>
      </c>
      <c r="N30" s="931">
        <f t="shared" si="0"/>
        <v>39375600</v>
      </c>
      <c r="O30" s="953">
        <f t="shared" si="1"/>
        <v>0</v>
      </c>
      <c r="P30" s="932">
        <f t="shared" si="2"/>
        <v>0</v>
      </c>
      <c r="Q30" s="965"/>
      <c r="R30" s="965"/>
      <c r="S30" s="965"/>
      <c r="T30" s="969">
        <f t="shared" si="3"/>
        <v>1.9</v>
      </c>
      <c r="U30" s="929"/>
    </row>
    <row r="31" spans="1:21">
      <c r="A31" s="949">
        <v>25</v>
      </c>
      <c r="B31" s="956" t="s">
        <v>1828</v>
      </c>
      <c r="C31" s="957" t="s">
        <v>1829</v>
      </c>
      <c r="D31" s="960">
        <v>0.48399999999999999</v>
      </c>
      <c r="E31" s="951" t="s">
        <v>89</v>
      </c>
      <c r="F31" s="952" t="s">
        <v>2042</v>
      </c>
      <c r="G31" s="952"/>
      <c r="H31" s="952">
        <v>0.48399999999999999</v>
      </c>
      <c r="I31" s="952"/>
      <c r="J31" s="952"/>
      <c r="K31" s="929">
        <v>20724000</v>
      </c>
      <c r="L31" s="933">
        <f t="shared" si="5"/>
        <v>10030416</v>
      </c>
      <c r="M31" s="930">
        <f t="shared" si="4"/>
        <v>0</v>
      </c>
      <c r="N31" s="931">
        <f t="shared" si="0"/>
        <v>10030416</v>
      </c>
      <c r="O31" s="953">
        <f t="shared" si="1"/>
        <v>0</v>
      </c>
      <c r="P31" s="932">
        <f t="shared" si="2"/>
        <v>0</v>
      </c>
      <c r="Q31" s="965"/>
      <c r="R31" s="965"/>
      <c r="S31" s="965"/>
      <c r="T31" s="969">
        <f t="shared" si="3"/>
        <v>0.48399999999999999</v>
      </c>
      <c r="U31" s="929"/>
    </row>
    <row r="32" spans="1:21">
      <c r="A32" s="949">
        <v>26</v>
      </c>
      <c r="B32" s="956" t="s">
        <v>1830</v>
      </c>
      <c r="C32" s="957" t="s">
        <v>1831</v>
      </c>
      <c r="D32" s="117">
        <v>1.6</v>
      </c>
      <c r="E32" s="951" t="s">
        <v>89</v>
      </c>
      <c r="F32" s="952" t="s">
        <v>2043</v>
      </c>
      <c r="G32" s="952"/>
      <c r="H32" s="952">
        <v>0.8</v>
      </c>
      <c r="I32" s="952">
        <v>0.8</v>
      </c>
      <c r="J32" s="952"/>
      <c r="K32" s="929">
        <v>20724000</v>
      </c>
      <c r="L32" s="933">
        <f t="shared" si="5"/>
        <v>33158400</v>
      </c>
      <c r="M32" s="930">
        <f t="shared" si="4"/>
        <v>0</v>
      </c>
      <c r="N32" s="931">
        <f t="shared" si="0"/>
        <v>16579200</v>
      </c>
      <c r="O32" s="953">
        <f t="shared" si="1"/>
        <v>16579200</v>
      </c>
      <c r="P32" s="932">
        <f t="shared" si="2"/>
        <v>0</v>
      </c>
      <c r="Q32" s="965"/>
      <c r="R32" s="965"/>
      <c r="S32" s="965"/>
      <c r="T32" s="969">
        <f t="shared" si="3"/>
        <v>1.6</v>
      </c>
      <c r="U32" s="929"/>
    </row>
    <row r="33" spans="1:21">
      <c r="A33" s="949">
        <v>27</v>
      </c>
      <c r="B33" s="956" t="s">
        <v>1832</v>
      </c>
      <c r="C33" s="957" t="s">
        <v>1831</v>
      </c>
      <c r="D33" s="117">
        <v>0.5</v>
      </c>
      <c r="E33" s="951" t="s">
        <v>89</v>
      </c>
      <c r="F33" s="952" t="s">
        <v>2044</v>
      </c>
      <c r="G33" s="952"/>
      <c r="H33" s="952">
        <v>0.5</v>
      </c>
      <c r="I33" s="952"/>
      <c r="J33" s="952"/>
      <c r="K33" s="929">
        <v>20724000</v>
      </c>
      <c r="L33" s="933">
        <f t="shared" si="5"/>
        <v>10362000</v>
      </c>
      <c r="M33" s="930">
        <f t="shared" si="4"/>
        <v>0</v>
      </c>
      <c r="N33" s="931">
        <f t="shared" si="0"/>
        <v>10362000</v>
      </c>
      <c r="O33" s="953">
        <f t="shared" si="1"/>
        <v>0</v>
      </c>
      <c r="P33" s="932">
        <f t="shared" si="2"/>
        <v>0</v>
      </c>
      <c r="Q33" s="965"/>
      <c r="R33" s="965"/>
      <c r="S33" s="965"/>
      <c r="T33" s="969">
        <f t="shared" si="3"/>
        <v>0.5</v>
      </c>
      <c r="U33" s="929"/>
    </row>
    <row r="34" spans="1:21">
      <c r="A34" s="949">
        <v>28</v>
      </c>
      <c r="B34" s="956" t="s">
        <v>2045</v>
      </c>
      <c r="C34" s="957" t="s">
        <v>1831</v>
      </c>
      <c r="D34" s="117">
        <v>0.3</v>
      </c>
      <c r="E34" s="951"/>
      <c r="F34" s="952" t="s">
        <v>2046</v>
      </c>
      <c r="G34" s="952"/>
      <c r="H34" s="952">
        <v>0.3</v>
      </c>
      <c r="I34" s="952"/>
      <c r="J34" s="952"/>
      <c r="K34" s="929">
        <v>20724000</v>
      </c>
      <c r="L34" s="933">
        <f t="shared" si="5"/>
        <v>6217200</v>
      </c>
      <c r="M34" s="930">
        <f t="shared" si="4"/>
        <v>0</v>
      </c>
      <c r="N34" s="931">
        <f t="shared" si="0"/>
        <v>6217200</v>
      </c>
      <c r="O34" s="953">
        <f t="shared" si="1"/>
        <v>0</v>
      </c>
      <c r="P34" s="932">
        <f t="shared" si="2"/>
        <v>0</v>
      </c>
      <c r="Q34" s="965"/>
      <c r="R34" s="965"/>
      <c r="S34" s="965"/>
      <c r="T34" s="969">
        <f t="shared" si="3"/>
        <v>0.3</v>
      </c>
      <c r="U34" s="929"/>
    </row>
    <row r="35" spans="1:21" ht="18.75" customHeight="1">
      <c r="A35" s="1217" t="s">
        <v>1833</v>
      </c>
      <c r="B35" s="1218"/>
      <c r="C35" s="1218"/>
      <c r="D35" s="1218"/>
      <c r="E35" s="1218"/>
      <c r="F35" s="1218"/>
      <c r="G35" s="1218"/>
      <c r="H35" s="1218"/>
      <c r="I35" s="1218"/>
      <c r="J35" s="1219"/>
      <c r="K35" s="954"/>
      <c r="L35" s="946">
        <f>SUM(L36:L39)</f>
        <v>126972266.278</v>
      </c>
      <c r="M35" s="955">
        <f t="shared" si="4"/>
        <v>0</v>
      </c>
      <c r="N35" s="948">
        <f>SUM(N36:N39)</f>
        <v>71924801.277999997</v>
      </c>
      <c r="O35" s="947">
        <f>SUM(O36:O39)</f>
        <v>55047465</v>
      </c>
      <c r="P35" s="955">
        <f t="shared" si="2"/>
        <v>0</v>
      </c>
      <c r="Q35" s="965"/>
      <c r="R35" s="965"/>
      <c r="S35" s="965"/>
      <c r="T35" s="969"/>
      <c r="U35" s="929"/>
    </row>
    <row r="36" spans="1:21">
      <c r="A36" s="949">
        <v>29</v>
      </c>
      <c r="B36" s="956" t="s">
        <v>1834</v>
      </c>
      <c r="C36" s="957" t="s">
        <v>1835</v>
      </c>
      <c r="D36" s="960">
        <v>0.56499999999999995</v>
      </c>
      <c r="E36" s="951" t="s">
        <v>89</v>
      </c>
      <c r="F36" s="952" t="s">
        <v>2047</v>
      </c>
      <c r="G36" s="952"/>
      <c r="H36" s="952">
        <v>0.56499999999999995</v>
      </c>
      <c r="I36" s="952"/>
      <c r="J36" s="952"/>
      <c r="K36" s="962">
        <v>16698000</v>
      </c>
      <c r="L36" s="933">
        <f t="shared" si="5"/>
        <v>9434370</v>
      </c>
      <c r="M36" s="930">
        <f t="shared" si="4"/>
        <v>0</v>
      </c>
      <c r="N36" s="931">
        <f t="shared" si="0"/>
        <v>9434370</v>
      </c>
      <c r="O36" s="953">
        <f t="shared" si="1"/>
        <v>0</v>
      </c>
      <c r="P36" s="932">
        <f t="shared" si="2"/>
        <v>0</v>
      </c>
      <c r="Q36" s="965"/>
      <c r="R36" s="965"/>
      <c r="S36" s="965"/>
      <c r="T36" s="969">
        <f t="shared" si="3"/>
        <v>0.56499999999999995</v>
      </c>
      <c r="U36" s="929"/>
    </row>
    <row r="37" spans="1:21">
      <c r="A37" s="949">
        <v>30</v>
      </c>
      <c r="B37" s="956" t="s">
        <v>1836</v>
      </c>
      <c r="C37" s="957" t="s">
        <v>1835</v>
      </c>
      <c r="D37" s="960">
        <v>4.2</v>
      </c>
      <c r="E37" s="951" t="s">
        <v>89</v>
      </c>
      <c r="F37" s="952" t="s">
        <v>2048</v>
      </c>
      <c r="G37" s="952"/>
      <c r="H37" s="952">
        <v>2.1</v>
      </c>
      <c r="I37" s="952">
        <v>2.1</v>
      </c>
      <c r="J37" s="952"/>
      <c r="K37" s="962">
        <v>17820000</v>
      </c>
      <c r="L37" s="933">
        <f t="shared" si="5"/>
        <v>74844000</v>
      </c>
      <c r="M37" s="930">
        <f t="shared" si="4"/>
        <v>0</v>
      </c>
      <c r="N37" s="931">
        <f t="shared" si="0"/>
        <v>37422000</v>
      </c>
      <c r="O37" s="953">
        <f t="shared" si="1"/>
        <v>37422000</v>
      </c>
      <c r="P37" s="932">
        <f t="shared" si="2"/>
        <v>0</v>
      </c>
      <c r="Q37" s="965"/>
      <c r="R37" s="965"/>
      <c r="S37" s="965"/>
      <c r="T37" s="969">
        <f t="shared" si="3"/>
        <v>4.2</v>
      </c>
      <c r="U37" s="929"/>
    </row>
    <row r="38" spans="1:21">
      <c r="A38" s="949">
        <v>31</v>
      </c>
      <c r="B38" s="956" t="s">
        <v>1837</v>
      </c>
      <c r="C38" s="957" t="s">
        <v>1835</v>
      </c>
      <c r="D38" s="960">
        <v>1.98</v>
      </c>
      <c r="E38" s="951" t="s">
        <v>89</v>
      </c>
      <c r="F38" s="952" t="s">
        <v>2049</v>
      </c>
      <c r="G38" s="952"/>
      <c r="H38" s="952">
        <v>0.99</v>
      </c>
      <c r="I38" s="952">
        <v>0.99</v>
      </c>
      <c r="J38" s="952"/>
      <c r="K38" s="962">
        <v>17803500</v>
      </c>
      <c r="L38" s="933">
        <f t="shared" si="5"/>
        <v>35250930</v>
      </c>
      <c r="M38" s="930">
        <f t="shared" si="4"/>
        <v>0</v>
      </c>
      <c r="N38" s="931">
        <f t="shared" si="0"/>
        <v>17625465</v>
      </c>
      <c r="O38" s="953">
        <f t="shared" si="1"/>
        <v>17625465</v>
      </c>
      <c r="P38" s="932">
        <f t="shared" si="2"/>
        <v>0</v>
      </c>
      <c r="Q38" s="965"/>
      <c r="R38" s="965"/>
      <c r="S38" s="965"/>
      <c r="T38" s="969">
        <f t="shared" si="3"/>
        <v>1.98</v>
      </c>
      <c r="U38" s="929"/>
    </row>
    <row r="39" spans="1:21">
      <c r="A39" s="949">
        <v>32</v>
      </c>
      <c r="B39" s="956" t="s">
        <v>1838</v>
      </c>
      <c r="C39" s="957" t="s">
        <v>1835</v>
      </c>
      <c r="D39" s="117">
        <v>0.53</v>
      </c>
      <c r="E39" s="951" t="s">
        <v>89</v>
      </c>
      <c r="F39" s="952" t="s">
        <v>2050</v>
      </c>
      <c r="G39" s="952"/>
      <c r="H39" s="952">
        <v>0.53</v>
      </c>
      <c r="I39" s="952"/>
      <c r="J39" s="952"/>
      <c r="K39" s="962">
        <v>14043332.6</v>
      </c>
      <c r="L39" s="933">
        <f t="shared" si="5"/>
        <v>7442966.2779999999</v>
      </c>
      <c r="M39" s="930">
        <f t="shared" si="4"/>
        <v>0</v>
      </c>
      <c r="N39" s="931">
        <f t="shared" si="0"/>
        <v>7442966.2779999999</v>
      </c>
      <c r="O39" s="953">
        <f t="shared" si="1"/>
        <v>0</v>
      </c>
      <c r="P39" s="932">
        <f t="shared" si="2"/>
        <v>0</v>
      </c>
      <c r="Q39" s="965"/>
      <c r="R39" s="965"/>
      <c r="S39" s="965"/>
      <c r="T39" s="969">
        <f t="shared" si="3"/>
        <v>0.53</v>
      </c>
      <c r="U39" s="929"/>
    </row>
    <row r="40" spans="1:21">
      <c r="A40" s="1214" t="s">
        <v>1839</v>
      </c>
      <c r="B40" s="1215"/>
      <c r="C40" s="1215"/>
      <c r="D40" s="1215"/>
      <c r="E40" s="1215"/>
      <c r="F40" s="1215"/>
      <c r="G40" s="1215"/>
      <c r="H40" s="1215"/>
      <c r="I40" s="1215"/>
      <c r="J40" s="1216"/>
      <c r="K40" s="963"/>
      <c r="L40" s="946">
        <f>SUM(L41:L44)</f>
        <v>84312250</v>
      </c>
      <c r="M40" s="955">
        <f t="shared" si="4"/>
        <v>0</v>
      </c>
      <c r="N40" s="948">
        <f>SUM(N41:N44)</f>
        <v>61021730</v>
      </c>
      <c r="O40" s="947">
        <f>SUM(O41:O44)</f>
        <v>16848260</v>
      </c>
      <c r="P40" s="947">
        <f>SUM(P41:P44)</f>
        <v>6442260</v>
      </c>
      <c r="Q40" s="965"/>
      <c r="R40" s="965"/>
      <c r="S40" s="965"/>
      <c r="T40" s="969"/>
      <c r="U40" s="929"/>
    </row>
    <row r="41" spans="1:21">
      <c r="A41" s="949">
        <v>33</v>
      </c>
      <c r="B41" s="956" t="s">
        <v>1840</v>
      </c>
      <c r="C41" s="950" t="s">
        <v>1841</v>
      </c>
      <c r="D41" s="959">
        <v>1.9</v>
      </c>
      <c r="E41" s="951" t="s">
        <v>89</v>
      </c>
      <c r="F41" s="952" t="s">
        <v>2051</v>
      </c>
      <c r="G41" s="952"/>
      <c r="H41" s="952">
        <v>0.7</v>
      </c>
      <c r="I41" s="952">
        <v>0.6</v>
      </c>
      <c r="J41" s="952">
        <v>0.6</v>
      </c>
      <c r="K41" s="962">
        <v>10737100</v>
      </c>
      <c r="L41" s="933">
        <f t="shared" si="5"/>
        <v>20400490</v>
      </c>
      <c r="M41" s="930">
        <f t="shared" si="4"/>
        <v>0</v>
      </c>
      <c r="N41" s="931">
        <f t="shared" si="0"/>
        <v>7515969.9999999991</v>
      </c>
      <c r="O41" s="953">
        <f t="shared" si="1"/>
        <v>6442260</v>
      </c>
      <c r="P41" s="932">
        <f t="shared" si="2"/>
        <v>6442260</v>
      </c>
      <c r="Q41" s="965"/>
      <c r="R41" s="965"/>
      <c r="S41" s="965"/>
      <c r="T41" s="969">
        <f t="shared" si="3"/>
        <v>1.9</v>
      </c>
      <c r="U41" s="929"/>
    </row>
    <row r="42" spans="1:21">
      <c r="A42" s="949">
        <v>34</v>
      </c>
      <c r="B42" s="956" t="s">
        <v>1842</v>
      </c>
      <c r="C42" s="950" t="s">
        <v>1841</v>
      </c>
      <c r="D42" s="471">
        <v>2</v>
      </c>
      <c r="E42" s="951" t="s">
        <v>89</v>
      </c>
      <c r="F42" s="952" t="s">
        <v>2052</v>
      </c>
      <c r="G42" s="952"/>
      <c r="H42" s="952">
        <v>1</v>
      </c>
      <c r="I42" s="952">
        <v>1</v>
      </c>
      <c r="J42" s="952"/>
      <c r="K42" s="962">
        <v>10406000</v>
      </c>
      <c r="L42" s="933">
        <f t="shared" si="5"/>
        <v>20812000</v>
      </c>
      <c r="M42" s="930">
        <f t="shared" si="4"/>
        <v>0</v>
      </c>
      <c r="N42" s="931">
        <f t="shared" si="0"/>
        <v>10406000</v>
      </c>
      <c r="O42" s="953">
        <f t="shared" si="1"/>
        <v>10406000</v>
      </c>
      <c r="P42" s="932">
        <f t="shared" si="2"/>
        <v>0</v>
      </c>
      <c r="Q42" s="965"/>
      <c r="R42" s="965"/>
      <c r="S42" s="965"/>
      <c r="T42" s="969">
        <f t="shared" si="3"/>
        <v>2</v>
      </c>
      <c r="U42" s="929"/>
    </row>
    <row r="43" spans="1:21">
      <c r="A43" s="949">
        <v>35</v>
      </c>
      <c r="B43" s="956" t="s">
        <v>1843</v>
      </c>
      <c r="C43" s="957" t="s">
        <v>1844</v>
      </c>
      <c r="D43" s="471">
        <v>1</v>
      </c>
      <c r="E43" s="951" t="s">
        <v>89</v>
      </c>
      <c r="F43" s="952" t="s">
        <v>2053</v>
      </c>
      <c r="G43" s="952"/>
      <c r="H43" s="952">
        <v>1</v>
      </c>
      <c r="I43" s="952"/>
      <c r="J43" s="952"/>
      <c r="K43" s="962">
        <v>14190000</v>
      </c>
      <c r="L43" s="933">
        <f t="shared" si="5"/>
        <v>14190000</v>
      </c>
      <c r="M43" s="930">
        <f t="shared" si="4"/>
        <v>0</v>
      </c>
      <c r="N43" s="931">
        <f t="shared" si="0"/>
        <v>14190000</v>
      </c>
      <c r="O43" s="953">
        <f t="shared" si="1"/>
        <v>0</v>
      </c>
      <c r="P43" s="932">
        <f t="shared" si="2"/>
        <v>0</v>
      </c>
      <c r="Q43" s="965"/>
      <c r="R43" s="965"/>
      <c r="S43" s="965"/>
      <c r="T43" s="969">
        <f t="shared" si="3"/>
        <v>1</v>
      </c>
      <c r="U43" s="929"/>
    </row>
    <row r="44" spans="1:21">
      <c r="A44" s="949">
        <v>36</v>
      </c>
      <c r="B44" s="956" t="s">
        <v>2054</v>
      </c>
      <c r="C44" s="957" t="s">
        <v>1844</v>
      </c>
      <c r="D44" s="471">
        <v>2</v>
      </c>
      <c r="E44" s="951" t="s">
        <v>89</v>
      </c>
      <c r="F44" s="952" t="s">
        <v>2055</v>
      </c>
      <c r="G44" s="952"/>
      <c r="H44" s="952">
        <v>2</v>
      </c>
      <c r="I44" s="952"/>
      <c r="J44" s="952"/>
      <c r="K44" s="962">
        <v>14454880</v>
      </c>
      <c r="L44" s="933">
        <f t="shared" si="5"/>
        <v>28909760</v>
      </c>
      <c r="M44" s="930">
        <f t="shared" si="4"/>
        <v>0</v>
      </c>
      <c r="N44" s="931">
        <f t="shared" si="0"/>
        <v>28909760</v>
      </c>
      <c r="O44" s="953">
        <f t="shared" si="1"/>
        <v>0</v>
      </c>
      <c r="P44" s="932">
        <f t="shared" si="2"/>
        <v>0</v>
      </c>
      <c r="Q44" s="965"/>
      <c r="R44" s="965"/>
      <c r="S44" s="965"/>
      <c r="T44" s="969">
        <f t="shared" si="3"/>
        <v>2</v>
      </c>
      <c r="U44" s="929"/>
    </row>
    <row r="45" spans="1:21">
      <c r="A45" s="1214" t="s">
        <v>1845</v>
      </c>
      <c r="B45" s="1215"/>
      <c r="C45" s="1215"/>
      <c r="D45" s="1215"/>
      <c r="E45" s="1215"/>
      <c r="F45" s="1215"/>
      <c r="G45" s="1215"/>
      <c r="H45" s="1215"/>
      <c r="I45" s="1215"/>
      <c r="J45" s="1216"/>
      <c r="K45" s="954"/>
      <c r="L45" s="946">
        <f>SUM(L46:L50)</f>
        <v>136840880</v>
      </c>
      <c r="M45" s="955">
        <f t="shared" si="4"/>
        <v>0</v>
      </c>
      <c r="N45" s="948">
        <f>SUM(N46:N50)</f>
        <v>68668380</v>
      </c>
      <c r="O45" s="947">
        <f>SUM(O46:O50)</f>
        <v>40364500</v>
      </c>
      <c r="P45" s="947">
        <f>SUM(P46:P50)</f>
        <v>27808000</v>
      </c>
      <c r="Q45" s="965"/>
      <c r="R45" s="965"/>
      <c r="S45" s="965"/>
      <c r="T45" s="969"/>
      <c r="U45" s="929"/>
    </row>
    <row r="46" spans="1:21" ht="25.5">
      <c r="A46" s="949">
        <v>37</v>
      </c>
      <c r="B46" s="950" t="s">
        <v>1846</v>
      </c>
      <c r="C46" s="950" t="s">
        <v>1847</v>
      </c>
      <c r="D46" s="471">
        <v>500</v>
      </c>
      <c r="E46" s="951" t="s">
        <v>27</v>
      </c>
      <c r="F46" s="952"/>
      <c r="G46" s="952"/>
      <c r="H46" s="952">
        <v>250</v>
      </c>
      <c r="I46" s="952">
        <v>250</v>
      </c>
      <c r="J46" s="952"/>
      <c r="K46" s="962">
        <v>28930</v>
      </c>
      <c r="L46" s="933">
        <f t="shared" si="5"/>
        <v>14465000</v>
      </c>
      <c r="M46" s="930">
        <f t="shared" si="4"/>
        <v>0</v>
      </c>
      <c r="N46" s="931">
        <f t="shared" si="0"/>
        <v>7232500</v>
      </c>
      <c r="O46" s="953">
        <f t="shared" si="1"/>
        <v>7232500</v>
      </c>
      <c r="P46" s="932">
        <f t="shared" si="2"/>
        <v>0</v>
      </c>
      <c r="Q46" s="965"/>
      <c r="R46" s="965"/>
      <c r="S46" s="965"/>
      <c r="T46" s="969">
        <f t="shared" si="3"/>
        <v>500</v>
      </c>
      <c r="U46" s="929"/>
    </row>
    <row r="47" spans="1:21" ht="25.5">
      <c r="A47" s="949">
        <v>38</v>
      </c>
      <c r="B47" s="950" t="s">
        <v>1846</v>
      </c>
      <c r="C47" s="950" t="s">
        <v>1848</v>
      </c>
      <c r="D47" s="471">
        <v>2000</v>
      </c>
      <c r="E47" s="951" t="s">
        <v>27</v>
      </c>
      <c r="F47" s="952"/>
      <c r="G47" s="952"/>
      <c r="H47" s="952">
        <v>1000</v>
      </c>
      <c r="I47" s="952">
        <v>500</v>
      </c>
      <c r="J47" s="952">
        <v>500</v>
      </c>
      <c r="K47" s="962">
        <v>29392</v>
      </c>
      <c r="L47" s="933">
        <f t="shared" si="5"/>
        <v>58784000</v>
      </c>
      <c r="M47" s="930">
        <f t="shared" si="4"/>
        <v>0</v>
      </c>
      <c r="N47" s="931">
        <f t="shared" si="0"/>
        <v>29392000</v>
      </c>
      <c r="O47" s="953">
        <f t="shared" si="1"/>
        <v>14696000</v>
      </c>
      <c r="P47" s="932">
        <f t="shared" si="2"/>
        <v>14696000</v>
      </c>
      <c r="Q47" s="965"/>
      <c r="R47" s="965"/>
      <c r="S47" s="965"/>
      <c r="T47" s="969">
        <f t="shared" si="3"/>
        <v>2000</v>
      </c>
      <c r="U47" s="929"/>
    </row>
    <row r="48" spans="1:21">
      <c r="A48" s="949">
        <v>39</v>
      </c>
      <c r="B48" s="950" t="s">
        <v>1846</v>
      </c>
      <c r="C48" s="950" t="s">
        <v>2056</v>
      </c>
      <c r="D48" s="471">
        <v>400</v>
      </c>
      <c r="E48" s="951" t="s">
        <v>27</v>
      </c>
      <c r="F48" s="952"/>
      <c r="G48" s="952"/>
      <c r="H48" s="952">
        <v>200</v>
      </c>
      <c r="I48" s="952">
        <v>200</v>
      </c>
      <c r="J48" s="952"/>
      <c r="K48" s="962">
        <v>26620</v>
      </c>
      <c r="L48" s="933">
        <f t="shared" si="5"/>
        <v>10648000</v>
      </c>
      <c r="M48" s="930">
        <f t="shared" si="4"/>
        <v>0</v>
      </c>
      <c r="N48" s="931">
        <f t="shared" si="0"/>
        <v>5324000</v>
      </c>
      <c r="O48" s="953">
        <f t="shared" si="1"/>
        <v>5324000</v>
      </c>
      <c r="P48" s="932">
        <f t="shared" si="2"/>
        <v>0</v>
      </c>
      <c r="Q48" s="965"/>
      <c r="R48" s="965"/>
      <c r="S48" s="965"/>
      <c r="T48" s="969">
        <f t="shared" si="3"/>
        <v>400</v>
      </c>
      <c r="U48" s="929"/>
    </row>
    <row r="49" spans="1:21">
      <c r="A49" s="949">
        <v>40</v>
      </c>
      <c r="B49" s="950" t="s">
        <v>1846</v>
      </c>
      <c r="C49" s="950" t="s">
        <v>2057</v>
      </c>
      <c r="D49" s="471">
        <v>2000</v>
      </c>
      <c r="E49" s="951" t="s">
        <v>27</v>
      </c>
      <c r="F49" s="952"/>
      <c r="G49" s="952"/>
      <c r="H49" s="952">
        <v>1000</v>
      </c>
      <c r="I49" s="952">
        <v>500</v>
      </c>
      <c r="J49" s="952">
        <v>500</v>
      </c>
      <c r="K49" s="962">
        <v>26224</v>
      </c>
      <c r="L49" s="933">
        <f t="shared" si="5"/>
        <v>52448000</v>
      </c>
      <c r="M49" s="930">
        <f t="shared" si="4"/>
        <v>0</v>
      </c>
      <c r="N49" s="931">
        <f t="shared" si="0"/>
        <v>26224000</v>
      </c>
      <c r="O49" s="953">
        <f t="shared" si="1"/>
        <v>13112000</v>
      </c>
      <c r="P49" s="932">
        <f t="shared" si="2"/>
        <v>13112000</v>
      </c>
      <c r="Q49" s="965"/>
      <c r="R49" s="965"/>
      <c r="S49" s="965"/>
      <c r="T49" s="969">
        <f t="shared" si="3"/>
        <v>2000</v>
      </c>
      <c r="U49" s="929"/>
    </row>
    <row r="50" spans="1:21">
      <c r="A50" s="949">
        <v>41</v>
      </c>
      <c r="B50" s="950" t="s">
        <v>1846</v>
      </c>
      <c r="C50" s="950" t="s">
        <v>1849</v>
      </c>
      <c r="D50" s="471">
        <v>20</v>
      </c>
      <c r="E50" s="951" t="s">
        <v>27</v>
      </c>
      <c r="F50" s="952"/>
      <c r="G50" s="952"/>
      <c r="H50" s="952">
        <v>20</v>
      </c>
      <c r="I50" s="952"/>
      <c r="J50" s="952"/>
      <c r="K50" s="962">
        <v>24794</v>
      </c>
      <c r="L50" s="933">
        <f t="shared" si="5"/>
        <v>495880</v>
      </c>
      <c r="M50" s="930">
        <f t="shared" si="4"/>
        <v>0</v>
      </c>
      <c r="N50" s="931">
        <f t="shared" si="0"/>
        <v>495880</v>
      </c>
      <c r="O50" s="953">
        <f t="shared" si="1"/>
        <v>0</v>
      </c>
      <c r="P50" s="932">
        <f t="shared" si="2"/>
        <v>0</v>
      </c>
      <c r="Q50" s="965"/>
      <c r="R50" s="965"/>
      <c r="S50" s="965"/>
      <c r="T50" s="969">
        <f t="shared" si="3"/>
        <v>20</v>
      </c>
      <c r="U50" s="929"/>
    </row>
    <row r="51" spans="1:21" ht="18.75" customHeight="1">
      <c r="A51" s="1220" t="s">
        <v>1850</v>
      </c>
      <c r="B51" s="1221"/>
      <c r="C51" s="1221"/>
      <c r="D51" s="1221"/>
      <c r="E51" s="1221"/>
      <c r="F51" s="1221"/>
      <c r="G51" s="1221"/>
      <c r="H51" s="1221"/>
      <c r="I51" s="1221"/>
      <c r="J51" s="1222"/>
      <c r="K51" s="954"/>
      <c r="L51" s="946">
        <f>SUM(L52:L54)</f>
        <v>15203000</v>
      </c>
      <c r="M51" s="955">
        <f t="shared" si="4"/>
        <v>0</v>
      </c>
      <c r="N51" s="948">
        <f>SUM(N52:N54)</f>
        <v>8422500</v>
      </c>
      <c r="O51" s="947">
        <f>SUM(O52:O54)</f>
        <v>6780500</v>
      </c>
      <c r="P51" s="955">
        <f t="shared" si="2"/>
        <v>0</v>
      </c>
      <c r="Q51" s="965"/>
      <c r="R51" s="965"/>
      <c r="S51" s="965"/>
      <c r="T51" s="969"/>
      <c r="U51" s="929"/>
    </row>
    <row r="52" spans="1:21">
      <c r="A52" s="949">
        <v>42</v>
      </c>
      <c r="B52" s="956" t="s">
        <v>1851</v>
      </c>
      <c r="C52" s="950" t="s">
        <v>1852</v>
      </c>
      <c r="D52" s="471">
        <v>6</v>
      </c>
      <c r="E52" s="951" t="s">
        <v>286</v>
      </c>
      <c r="F52" s="952"/>
      <c r="G52" s="952"/>
      <c r="H52" s="952">
        <v>3</v>
      </c>
      <c r="I52" s="952">
        <v>3</v>
      </c>
      <c r="J52" s="952"/>
      <c r="K52" s="929">
        <v>1654700</v>
      </c>
      <c r="L52" s="933">
        <f t="shared" si="5"/>
        <v>9928200</v>
      </c>
      <c r="M52" s="930">
        <f t="shared" si="4"/>
        <v>0</v>
      </c>
      <c r="N52" s="931">
        <f t="shared" si="0"/>
        <v>4964100</v>
      </c>
      <c r="O52" s="953">
        <f t="shared" si="1"/>
        <v>4964100</v>
      </c>
      <c r="P52" s="932">
        <f t="shared" si="2"/>
        <v>0</v>
      </c>
      <c r="Q52" s="965"/>
      <c r="R52" s="965"/>
      <c r="S52" s="965"/>
      <c r="T52" s="969">
        <f t="shared" si="3"/>
        <v>6</v>
      </c>
      <c r="U52" s="929"/>
    </row>
    <row r="53" spans="1:21">
      <c r="A53" s="949">
        <v>43</v>
      </c>
      <c r="B53" s="956" t="s">
        <v>1853</v>
      </c>
      <c r="C53" s="950" t="s">
        <v>1854</v>
      </c>
      <c r="D53" s="471">
        <v>8</v>
      </c>
      <c r="E53" s="951" t="s">
        <v>286</v>
      </c>
      <c r="F53" s="952"/>
      <c r="G53" s="952"/>
      <c r="H53" s="952">
        <v>4</v>
      </c>
      <c r="I53" s="952">
        <v>4</v>
      </c>
      <c r="J53" s="952"/>
      <c r="K53" s="929">
        <v>454100</v>
      </c>
      <c r="L53" s="933">
        <f t="shared" si="5"/>
        <v>3632800</v>
      </c>
      <c r="M53" s="930">
        <f t="shared" si="4"/>
        <v>0</v>
      </c>
      <c r="N53" s="931">
        <f t="shared" si="0"/>
        <v>1816400</v>
      </c>
      <c r="O53" s="953">
        <f t="shared" si="1"/>
        <v>1816400</v>
      </c>
      <c r="P53" s="932">
        <f t="shared" si="2"/>
        <v>0</v>
      </c>
      <c r="Q53" s="965"/>
      <c r="R53" s="965"/>
      <c r="S53" s="965"/>
      <c r="T53" s="969">
        <f t="shared" si="3"/>
        <v>8</v>
      </c>
      <c r="U53" s="929"/>
    </row>
    <row r="54" spans="1:21">
      <c r="A54" s="949">
        <v>44</v>
      </c>
      <c r="B54" s="956" t="s">
        <v>1855</v>
      </c>
      <c r="C54" s="950" t="s">
        <v>1856</v>
      </c>
      <c r="D54" s="471">
        <v>1</v>
      </c>
      <c r="E54" s="951" t="s">
        <v>286</v>
      </c>
      <c r="F54" s="952"/>
      <c r="G54" s="952"/>
      <c r="H54" s="952">
        <v>1</v>
      </c>
      <c r="I54" s="952"/>
      <c r="J54" s="952"/>
      <c r="K54" s="929">
        <v>1642000</v>
      </c>
      <c r="L54" s="933">
        <f t="shared" si="5"/>
        <v>1642000</v>
      </c>
      <c r="M54" s="930">
        <f t="shared" si="4"/>
        <v>0</v>
      </c>
      <c r="N54" s="931">
        <f t="shared" si="0"/>
        <v>1642000</v>
      </c>
      <c r="O54" s="953">
        <f t="shared" si="1"/>
        <v>0</v>
      </c>
      <c r="P54" s="932">
        <f t="shared" si="2"/>
        <v>0</v>
      </c>
      <c r="Q54" s="965"/>
      <c r="R54" s="965"/>
      <c r="S54" s="965"/>
      <c r="T54" s="969">
        <f t="shared" si="3"/>
        <v>1</v>
      </c>
      <c r="U54" s="929"/>
    </row>
    <row r="55" spans="1:21" ht="15" customHeight="1">
      <c r="A55" s="1214" t="s">
        <v>2081</v>
      </c>
      <c r="B55" s="1215"/>
      <c r="C55" s="1215"/>
      <c r="D55" s="1215"/>
      <c r="E55" s="1215"/>
      <c r="F55" s="1215"/>
      <c r="G55" s="1215"/>
      <c r="H55" s="1215"/>
      <c r="I55" s="1215"/>
      <c r="J55" s="1216"/>
      <c r="K55" s="954"/>
      <c r="L55" s="946">
        <f>SUM(L56:L61)</f>
        <v>15156005250</v>
      </c>
      <c r="M55" s="955">
        <f t="shared" si="4"/>
        <v>0</v>
      </c>
      <c r="N55" s="948">
        <f>SUM(N56:N61)</f>
        <v>6017869000</v>
      </c>
      <c r="O55" s="947">
        <f>SUM(O56:O61)</f>
        <v>4649741000</v>
      </c>
      <c r="P55" s="947">
        <f>SUM(P56:P61)</f>
        <v>4488395250</v>
      </c>
      <c r="Q55" s="965"/>
      <c r="R55" s="965"/>
      <c r="S55" s="965"/>
      <c r="T55" s="969"/>
      <c r="U55" s="929"/>
    </row>
    <row r="56" spans="1:21" ht="76.5">
      <c r="A56" s="949">
        <v>45</v>
      </c>
      <c r="B56" s="956" t="s">
        <v>1857</v>
      </c>
      <c r="C56" s="950" t="s">
        <v>1858</v>
      </c>
      <c r="D56" s="964">
        <v>6100</v>
      </c>
      <c r="E56" s="951" t="s">
        <v>27</v>
      </c>
      <c r="F56" s="965"/>
      <c r="G56" s="965"/>
      <c r="H56" s="965">
        <v>3100</v>
      </c>
      <c r="I56" s="965">
        <v>3000</v>
      </c>
      <c r="J56" s="965"/>
      <c r="K56" s="929">
        <v>37000</v>
      </c>
      <c r="L56" s="933">
        <f t="shared" si="5"/>
        <v>225700000</v>
      </c>
      <c r="M56" s="930">
        <f t="shared" si="4"/>
        <v>0</v>
      </c>
      <c r="N56" s="931">
        <f t="shared" si="0"/>
        <v>114700000</v>
      </c>
      <c r="O56" s="953">
        <f t="shared" si="1"/>
        <v>111000000</v>
      </c>
      <c r="P56" s="932">
        <f t="shared" si="2"/>
        <v>0</v>
      </c>
      <c r="Q56" s="971" t="s">
        <v>4227</v>
      </c>
      <c r="R56" s="970" t="s">
        <v>4747</v>
      </c>
      <c r="S56" s="965">
        <f>512+110+1242</f>
        <v>1864</v>
      </c>
      <c r="T56" s="969">
        <f t="shared" si="3"/>
        <v>4236</v>
      </c>
      <c r="U56" s="929">
        <f>12902400+2710400+31298400</f>
        <v>46911200</v>
      </c>
    </row>
    <row r="57" spans="1:21" ht="76.5">
      <c r="A57" s="949">
        <v>46</v>
      </c>
      <c r="B57" s="956" t="s">
        <v>1857</v>
      </c>
      <c r="C57" s="950" t="s">
        <v>1859</v>
      </c>
      <c r="D57" s="964">
        <v>8050</v>
      </c>
      <c r="E57" s="951" t="s">
        <v>27</v>
      </c>
      <c r="F57" s="965"/>
      <c r="G57" s="965"/>
      <c r="H57" s="965">
        <v>3050</v>
      </c>
      <c r="I57" s="965">
        <v>3000</v>
      </c>
      <c r="J57" s="965">
        <v>2000</v>
      </c>
      <c r="K57" s="929">
        <v>37000</v>
      </c>
      <c r="L57" s="933">
        <f t="shared" si="5"/>
        <v>297850000</v>
      </c>
      <c r="M57" s="930">
        <f t="shared" si="4"/>
        <v>0</v>
      </c>
      <c r="N57" s="931">
        <f t="shared" si="0"/>
        <v>112850000</v>
      </c>
      <c r="O57" s="953">
        <f t="shared" si="1"/>
        <v>111000000</v>
      </c>
      <c r="P57" s="932">
        <f t="shared" si="2"/>
        <v>74000000</v>
      </c>
      <c r="Q57" s="971" t="s">
        <v>4227</v>
      </c>
      <c r="R57" s="970" t="s">
        <v>4748</v>
      </c>
      <c r="S57" s="965">
        <f>902+150+1585</f>
        <v>2637</v>
      </c>
      <c r="T57" s="969">
        <f t="shared" si="3"/>
        <v>5413</v>
      </c>
      <c r="U57" s="929">
        <f>22730400+3703500+39942000</f>
        <v>66375900</v>
      </c>
    </row>
    <row r="58" spans="1:21" ht="76.5">
      <c r="A58" s="949">
        <v>47</v>
      </c>
      <c r="B58" s="951" t="s">
        <v>1860</v>
      </c>
      <c r="C58" s="957"/>
      <c r="D58" s="964">
        <v>1350</v>
      </c>
      <c r="E58" s="951" t="s">
        <v>385</v>
      </c>
      <c r="F58" s="965"/>
      <c r="G58" s="965"/>
      <c r="H58" s="965">
        <v>550</v>
      </c>
      <c r="I58" s="965">
        <v>400</v>
      </c>
      <c r="J58" s="965">
        <v>400</v>
      </c>
      <c r="K58" s="929">
        <v>5913600</v>
      </c>
      <c r="L58" s="933">
        <f t="shared" si="5"/>
        <v>7983360000</v>
      </c>
      <c r="M58" s="930">
        <f t="shared" si="4"/>
        <v>0</v>
      </c>
      <c r="N58" s="931">
        <f t="shared" si="0"/>
        <v>3252480000</v>
      </c>
      <c r="O58" s="953">
        <f t="shared" si="1"/>
        <v>2365440000</v>
      </c>
      <c r="P58" s="932">
        <f t="shared" si="2"/>
        <v>2365440000</v>
      </c>
      <c r="Q58" s="971" t="s">
        <v>4227</v>
      </c>
      <c r="R58" s="970" t="s">
        <v>4749</v>
      </c>
      <c r="S58" s="965">
        <f>140+26+263</f>
        <v>429</v>
      </c>
      <c r="T58" s="969">
        <f t="shared" si="3"/>
        <v>921</v>
      </c>
      <c r="U58" s="929">
        <f>708050001.4+135915000.26+1330122502.63</f>
        <v>2174087504.29</v>
      </c>
    </row>
    <row r="59" spans="1:21" ht="127.5">
      <c r="A59" s="949">
        <v>48</v>
      </c>
      <c r="B59" s="951" t="s">
        <v>1861</v>
      </c>
      <c r="C59" s="957" t="s">
        <v>1862</v>
      </c>
      <c r="D59" s="964">
        <v>26000</v>
      </c>
      <c r="E59" s="951" t="s">
        <v>286</v>
      </c>
      <c r="F59" s="965"/>
      <c r="G59" s="965"/>
      <c r="H59" s="965">
        <v>10000</v>
      </c>
      <c r="I59" s="965">
        <v>8000</v>
      </c>
      <c r="J59" s="965">
        <v>8000</v>
      </c>
      <c r="K59" s="929">
        <v>127644</v>
      </c>
      <c r="L59" s="933">
        <f t="shared" si="5"/>
        <v>3318744000</v>
      </c>
      <c r="M59" s="930">
        <f t="shared" si="4"/>
        <v>0</v>
      </c>
      <c r="N59" s="931">
        <f t="shared" si="0"/>
        <v>1276440000</v>
      </c>
      <c r="O59" s="953">
        <f t="shared" si="1"/>
        <v>1021152000</v>
      </c>
      <c r="P59" s="932">
        <f t="shared" si="2"/>
        <v>1021152000</v>
      </c>
      <c r="Q59" s="971" t="s">
        <v>4227</v>
      </c>
      <c r="R59" s="970" t="s">
        <v>4750</v>
      </c>
      <c r="S59" s="965">
        <f>950+5163+300+300+300</f>
        <v>7013</v>
      </c>
      <c r="T59" s="969">
        <f t="shared" si="3"/>
        <v>18987</v>
      </c>
      <c r="U59" s="929">
        <f>133000000+686679000+36000000+36000000+36000000</f>
        <v>927679000</v>
      </c>
    </row>
    <row r="60" spans="1:21" ht="51">
      <c r="A60" s="949">
        <v>49</v>
      </c>
      <c r="B60" s="950" t="s">
        <v>1861</v>
      </c>
      <c r="C60" s="966" t="s">
        <v>1863</v>
      </c>
      <c r="D60" s="964">
        <v>26000</v>
      </c>
      <c r="E60" s="967" t="s">
        <v>286</v>
      </c>
      <c r="F60" s="965"/>
      <c r="G60" s="965"/>
      <c r="H60" s="965">
        <v>10000</v>
      </c>
      <c r="I60" s="965">
        <v>8000</v>
      </c>
      <c r="J60" s="965">
        <v>8000</v>
      </c>
      <c r="K60" s="929">
        <v>110125</v>
      </c>
      <c r="L60" s="933">
        <f t="shared" si="5"/>
        <v>2863250000</v>
      </c>
      <c r="M60" s="930">
        <f t="shared" si="4"/>
        <v>0</v>
      </c>
      <c r="N60" s="931">
        <f t="shared" si="0"/>
        <v>1101250000</v>
      </c>
      <c r="O60" s="953">
        <f t="shared" si="1"/>
        <v>881000000</v>
      </c>
      <c r="P60" s="932">
        <f t="shared" si="2"/>
        <v>881000000</v>
      </c>
      <c r="Q60" s="971" t="s">
        <v>4227</v>
      </c>
      <c r="R60" s="970" t="s">
        <v>4751</v>
      </c>
      <c r="S60" s="965">
        <f>950+5163</f>
        <v>6113</v>
      </c>
      <c r="T60" s="969">
        <f t="shared" si="3"/>
        <v>19887</v>
      </c>
      <c r="U60" s="929">
        <f>95000000+516300000</f>
        <v>611300000</v>
      </c>
    </row>
    <row r="61" spans="1:21" ht="76.5">
      <c r="A61" s="949">
        <v>50</v>
      </c>
      <c r="B61" s="968" t="s">
        <v>2082</v>
      </c>
      <c r="C61" s="949"/>
      <c r="D61" s="964">
        <v>87500</v>
      </c>
      <c r="E61" s="965" t="s">
        <v>432</v>
      </c>
      <c r="F61" s="949"/>
      <c r="G61" s="949"/>
      <c r="H61" s="949">
        <v>30000</v>
      </c>
      <c r="I61" s="949">
        <v>30000</v>
      </c>
      <c r="J61" s="949">
        <v>27500</v>
      </c>
      <c r="K61" s="929">
        <v>5338.3</v>
      </c>
      <c r="L61" s="933">
        <f t="shared" si="5"/>
        <v>467101250</v>
      </c>
      <c r="M61" s="930">
        <f t="shared" si="4"/>
        <v>0</v>
      </c>
      <c r="N61" s="931">
        <f t="shared" si="0"/>
        <v>160149000</v>
      </c>
      <c r="O61" s="953">
        <f t="shared" si="1"/>
        <v>160149000</v>
      </c>
      <c r="P61" s="932">
        <f t="shared" si="2"/>
        <v>146803250</v>
      </c>
      <c r="Q61" s="972" t="s">
        <v>4719</v>
      </c>
      <c r="R61" s="970" t="s">
        <v>4752</v>
      </c>
      <c r="S61" s="965">
        <f>22500+173+24895</f>
        <v>47568</v>
      </c>
      <c r="T61" s="969">
        <f t="shared" si="3"/>
        <v>39932</v>
      </c>
      <c r="U61" s="929">
        <f>95760225+959112+138018128.95</f>
        <v>234737465.94999999</v>
      </c>
    </row>
    <row r="62" spans="1:21" ht="18.75">
      <c r="A62" s="370" t="s">
        <v>2816</v>
      </c>
      <c r="B62" s="370"/>
      <c r="C62" s="370"/>
      <c r="D62" s="370"/>
      <c r="E62" s="370"/>
      <c r="F62" s="370"/>
      <c r="G62" s="370"/>
      <c r="H62" s="370"/>
      <c r="I62" s="370"/>
      <c r="J62" s="370"/>
      <c r="K62" s="174"/>
      <c r="L62" s="371" t="e">
        <f>SUM(L55,L51,L45,L40,L35,L29,L25,L7,L3)</f>
        <v>#VALUE!</v>
      </c>
      <c r="M62" s="458">
        <f>SUM(M3,M7,M25,M29,M35,M40,M45,M51,M55)</f>
        <v>0</v>
      </c>
      <c r="N62" s="449">
        <f>SUM(N55,N51,N45,N40,N35,N29,N25,N7,N3)</f>
        <v>6521085875.4799995</v>
      </c>
      <c r="O62" s="458">
        <f>SUM(O55,O51,O45,O40,O35,O29,O25,O7,O3)</f>
        <v>4941404035.6960001</v>
      </c>
      <c r="P62" s="458">
        <f>SUM(P55,P51,P45,P40,P35,P29,P25,P7,P3)</f>
        <v>4610273787.3610001</v>
      </c>
      <c r="Q62" s="458"/>
    </row>
    <row r="65" spans="15:17">
      <c r="P65" s="449"/>
      <c r="Q65" s="449"/>
    </row>
    <row r="67" spans="15:17">
      <c r="O67" s="449"/>
    </row>
  </sheetData>
  <customSheetViews>
    <customSheetView guid="{750F99BE-5C19-4848-A09A-0E4FD0F9F8FC}" hiddenColumns="1" topLeftCell="D1">
      <selection activeCell="N67" sqref="N67"/>
      <pageMargins left="0.7" right="0.7" top="0.75" bottom="0.75" header="0.3" footer="0.3"/>
      <pageSetup paperSize="9" orientation="portrait" verticalDpi="0" r:id="rId1"/>
    </customSheetView>
    <customSheetView guid="{DEF9C65D-F8A0-4631-A6BF-69DD462E745F}" hiddenColumns="1" topLeftCell="A34">
      <selection activeCell="L52" sqref="L52"/>
      <pageMargins left="0.7" right="0.7" top="0.75" bottom="0.75" header="0.3" footer="0.3"/>
      <pageSetup paperSize="9" orientation="portrait" verticalDpi="0" r:id="rId2"/>
    </customSheetView>
    <customSheetView guid="{F53706EC-596C-4347-9C22-A701412B0A41}" hiddenColumns="1" topLeftCell="A34">
      <selection activeCell="L52" sqref="L52"/>
      <pageMargins left="0.7" right="0.7" top="0.75" bottom="0.75" header="0.3" footer="0.3"/>
      <pageSetup paperSize="9" orientation="portrait" verticalDpi="0" r:id="rId3"/>
    </customSheetView>
    <customSheetView guid="{93AFD236-396B-4FF3-AB41-05714D8754DB}" hiddenColumns="1" topLeftCell="D37">
      <selection activeCell="N67" sqref="N67"/>
      <pageMargins left="0.7" right="0.7" top="0.75" bottom="0.75" header="0.3" footer="0.3"/>
      <pageSetup paperSize="9" orientation="portrait" verticalDpi="0" r:id="rId4"/>
    </customSheetView>
  </customSheetViews>
  <mergeCells count="27">
    <mergeCell ref="P1:P2"/>
    <mergeCell ref="K1:K2"/>
    <mergeCell ref="L1:L2"/>
    <mergeCell ref="M1:M2"/>
    <mergeCell ref="N1:N2"/>
    <mergeCell ref="O1:O2"/>
    <mergeCell ref="A7:J7"/>
    <mergeCell ref="A51:J51"/>
    <mergeCell ref="A3:J3"/>
    <mergeCell ref="C1:C2"/>
    <mergeCell ref="D1:D2"/>
    <mergeCell ref="E1:E2"/>
    <mergeCell ref="A1:A2"/>
    <mergeCell ref="G1:J1"/>
    <mergeCell ref="F1:F2"/>
    <mergeCell ref="B1:B2"/>
    <mergeCell ref="A55:J55"/>
    <mergeCell ref="A40:J40"/>
    <mergeCell ref="A45:J45"/>
    <mergeCell ref="A25:J25"/>
    <mergeCell ref="A29:J29"/>
    <mergeCell ref="A35:J35"/>
    <mergeCell ref="Q1:Q2"/>
    <mergeCell ref="R1:R2"/>
    <mergeCell ref="S1:S2"/>
    <mergeCell ref="T1:T2"/>
    <mergeCell ref="U1:U2"/>
  </mergeCells>
  <pageMargins left="0.7" right="0.7" top="0.75" bottom="0.75" header="0.3" footer="0.3"/>
  <pageSetup paperSize="9" orientation="portrait" verticalDpi="0"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AH128"/>
  <sheetViews>
    <sheetView topLeftCell="C1" zoomScale="70" zoomScaleNormal="70" workbookViewId="0">
      <selection activeCell="K1" sqref="K1:AH1048576"/>
    </sheetView>
  </sheetViews>
  <sheetFormatPr defaultColWidth="9.140625" defaultRowHeight="18.75"/>
  <cols>
    <col min="1" max="1" width="5.140625" style="40" bestFit="1" customWidth="1"/>
    <col min="2" max="2" width="56.7109375" style="40" customWidth="1"/>
    <col min="3" max="3" width="53.140625" style="40" customWidth="1"/>
    <col min="4" max="4" width="12" style="40" bestFit="1" customWidth="1"/>
    <col min="5" max="5" width="13.7109375" style="40" customWidth="1"/>
    <col min="6" max="6" width="59" style="40" bestFit="1" customWidth="1"/>
    <col min="7" max="8" width="10.140625" style="40" hidden="1" customWidth="1"/>
    <col min="9" max="9" width="10.140625" style="40" bestFit="1" customWidth="1"/>
    <col min="10" max="10" width="8.7109375" style="40" bestFit="1" customWidth="1"/>
    <col min="11" max="12" width="15" style="40" hidden="1" customWidth="1"/>
    <col min="13" max="13" width="14.85546875" style="40" hidden="1" customWidth="1"/>
    <col min="14" max="14" width="17.140625" style="40" hidden="1" customWidth="1"/>
    <col min="15" max="15" width="15" style="40" hidden="1" customWidth="1"/>
    <col min="16" max="16" width="14.85546875" style="40" hidden="1" customWidth="1"/>
    <col min="17" max="17" width="15" style="40" hidden="1" customWidth="1"/>
    <col min="18" max="18" width="15.140625" style="40" hidden="1" customWidth="1"/>
    <col min="19" max="19" width="17.28515625" style="40" hidden="1" customWidth="1"/>
    <col min="20" max="20" width="15" style="40" hidden="1" customWidth="1"/>
    <col min="21" max="21" width="16.85546875" style="40" hidden="1" customWidth="1"/>
    <col min="22" max="22" width="5" style="40" hidden="1" customWidth="1"/>
    <col min="23" max="23" width="11" style="40" hidden="1" customWidth="1"/>
    <col min="24" max="24" width="22.140625" style="40" hidden="1" customWidth="1"/>
    <col min="25" max="25" width="25.5703125" style="40" hidden="1" customWidth="1"/>
    <col min="26" max="27" width="23.85546875" style="40" hidden="1" customWidth="1"/>
    <col min="28" max="29" width="23.42578125" style="40" hidden="1" customWidth="1"/>
    <col min="30" max="30" width="25.28515625" style="40" hidden="1" customWidth="1"/>
    <col min="31" max="31" width="10.7109375" style="40" hidden="1" customWidth="1"/>
    <col min="32" max="32" width="16.5703125" style="40" hidden="1" customWidth="1"/>
    <col min="33" max="33" width="0" style="40" hidden="1" customWidth="1"/>
    <col min="34" max="34" width="14.28515625" style="40" hidden="1" customWidth="1"/>
    <col min="35" max="16384" width="9.140625" style="40"/>
  </cols>
  <sheetData>
    <row r="1" spans="1:34" ht="57" customHeight="1">
      <c r="A1" s="1228" t="s">
        <v>595</v>
      </c>
      <c r="B1" s="1228" t="s">
        <v>272</v>
      </c>
      <c r="C1" s="1228" t="s">
        <v>1864</v>
      </c>
      <c r="D1" s="1228" t="s">
        <v>1865</v>
      </c>
      <c r="E1" s="1228" t="s">
        <v>1</v>
      </c>
      <c r="F1" s="1228" t="s">
        <v>275</v>
      </c>
      <c r="G1" s="1174" t="s">
        <v>1866</v>
      </c>
      <c r="H1" s="1236"/>
      <c r="I1" s="1236"/>
      <c r="J1" s="1237"/>
      <c r="K1" s="229" t="s">
        <v>2083</v>
      </c>
      <c r="L1" s="1235" t="s">
        <v>2084</v>
      </c>
      <c r="M1" s="1235"/>
      <c r="N1" s="1235"/>
      <c r="O1" s="1235" t="s">
        <v>2085</v>
      </c>
      <c r="P1" s="1235"/>
      <c r="Q1" s="1235" t="s">
        <v>2086</v>
      </c>
      <c r="R1" s="1235"/>
      <c r="S1" s="1235"/>
      <c r="T1" s="1235" t="s">
        <v>2087</v>
      </c>
      <c r="U1" s="1235"/>
      <c r="V1" s="1235" t="s">
        <v>2088</v>
      </c>
      <c r="W1" s="1235"/>
      <c r="X1" s="1159" t="s">
        <v>2881</v>
      </c>
      <c r="Y1" s="1159" t="s">
        <v>2882</v>
      </c>
      <c r="Z1" s="1159" t="s">
        <v>2883</v>
      </c>
      <c r="AA1" s="1159" t="s">
        <v>2884</v>
      </c>
      <c r="AB1" s="1159" t="s">
        <v>2885</v>
      </c>
      <c r="AC1" s="1159" t="s">
        <v>2886</v>
      </c>
      <c r="AD1" s="1090" t="s">
        <v>4230</v>
      </c>
      <c r="AE1" s="1119" t="s">
        <v>4700</v>
      </c>
      <c r="AF1" s="1119" t="s">
        <v>4701</v>
      </c>
      <c r="AG1" s="1119" t="s">
        <v>4702</v>
      </c>
      <c r="AH1" s="1119" t="s">
        <v>2882</v>
      </c>
    </row>
    <row r="2" spans="1:34" ht="37.5">
      <c r="A2" s="1229"/>
      <c r="B2" s="1229"/>
      <c r="C2" s="1229"/>
      <c r="D2" s="1229"/>
      <c r="E2" s="1229"/>
      <c r="F2" s="1229"/>
      <c r="G2" s="228" t="s">
        <v>3</v>
      </c>
      <c r="H2" s="228" t="s">
        <v>4</v>
      </c>
      <c r="I2" s="228" t="s">
        <v>5</v>
      </c>
      <c r="J2" s="228" t="s">
        <v>6</v>
      </c>
      <c r="K2" s="229" t="s">
        <v>2013</v>
      </c>
      <c r="L2" s="90" t="s">
        <v>2083</v>
      </c>
      <c r="M2" s="90" t="s">
        <v>2089</v>
      </c>
      <c r="N2" s="90" t="s">
        <v>2090</v>
      </c>
      <c r="O2" s="90" t="s">
        <v>2083</v>
      </c>
      <c r="P2" s="90" t="s">
        <v>2091</v>
      </c>
      <c r="Q2" s="90" t="s">
        <v>2092</v>
      </c>
      <c r="R2" s="90" t="s">
        <v>2093</v>
      </c>
      <c r="S2" s="90" t="s">
        <v>2094</v>
      </c>
      <c r="T2" s="90" t="s">
        <v>2083</v>
      </c>
      <c r="U2" s="90" t="s">
        <v>2095</v>
      </c>
      <c r="V2" s="90" t="s">
        <v>2088</v>
      </c>
      <c r="W2" s="90" t="s">
        <v>2096</v>
      </c>
      <c r="X2" s="1159"/>
      <c r="Y2" s="1159"/>
      <c r="Z2" s="1159"/>
      <c r="AA2" s="1159"/>
      <c r="AB2" s="1159"/>
      <c r="AC2" s="1159"/>
      <c r="AD2" s="1090"/>
      <c r="AE2" s="1119"/>
      <c r="AF2" s="1119"/>
      <c r="AG2" s="1119"/>
      <c r="AH2" s="1119"/>
    </row>
    <row r="3" spans="1:34" ht="18.75" customHeight="1">
      <c r="A3" s="1238" t="s">
        <v>2710</v>
      </c>
      <c r="B3" s="1239"/>
      <c r="C3" s="1239"/>
      <c r="D3" s="1239"/>
      <c r="E3" s="1239"/>
      <c r="F3" s="1239"/>
      <c r="G3" s="1239"/>
      <c r="H3" s="1239"/>
      <c r="I3" s="1239"/>
      <c r="J3" s="1239"/>
      <c r="K3" s="1239"/>
      <c r="L3" s="1239"/>
      <c r="M3" s="1239"/>
      <c r="N3" s="1239"/>
      <c r="O3" s="1239"/>
      <c r="P3" s="1239"/>
      <c r="Q3" s="1239"/>
      <c r="R3" s="1239"/>
      <c r="S3" s="1239"/>
      <c r="T3" s="1239"/>
      <c r="U3" s="1239"/>
      <c r="V3" s="1239"/>
      <c r="W3" s="1239"/>
      <c r="X3" s="1239"/>
      <c r="Y3" s="1239"/>
      <c r="Z3" s="1239"/>
      <c r="AA3" s="1239"/>
      <c r="AB3" s="1239"/>
      <c r="AC3" s="1239"/>
      <c r="AD3" s="1239"/>
      <c r="AE3" s="894"/>
      <c r="AF3" s="443"/>
      <c r="AG3" s="443"/>
      <c r="AH3" s="443"/>
    </row>
    <row r="4" spans="1:34" ht="60">
      <c r="A4" s="91">
        <v>1</v>
      </c>
      <c r="B4" s="91" t="s">
        <v>1867</v>
      </c>
      <c r="C4" s="91" t="s">
        <v>1868</v>
      </c>
      <c r="D4" s="91">
        <f>G4+H4+I4+J4</f>
        <v>79</v>
      </c>
      <c r="E4" s="91" t="s">
        <v>791</v>
      </c>
      <c r="F4" s="88" t="s">
        <v>2097</v>
      </c>
      <c r="G4" s="91">
        <v>10</v>
      </c>
      <c r="H4" s="91">
        <v>22</v>
      </c>
      <c r="I4" s="91">
        <v>27</v>
      </c>
      <c r="J4" s="91">
        <v>20</v>
      </c>
      <c r="K4" s="229">
        <v>19</v>
      </c>
      <c r="L4" s="229">
        <v>4</v>
      </c>
      <c r="M4" s="229">
        <v>2</v>
      </c>
      <c r="N4" s="229">
        <v>8</v>
      </c>
      <c r="O4" s="229">
        <v>15</v>
      </c>
      <c r="P4" s="229">
        <v>1</v>
      </c>
      <c r="Q4" s="229">
        <v>10</v>
      </c>
      <c r="R4" s="229">
        <v>1</v>
      </c>
      <c r="S4" s="229">
        <v>1</v>
      </c>
      <c r="T4" s="229">
        <v>11</v>
      </c>
      <c r="U4" s="229">
        <v>2</v>
      </c>
      <c r="V4" s="229">
        <v>2</v>
      </c>
      <c r="W4" s="229">
        <v>3</v>
      </c>
      <c r="X4" s="218">
        <v>8640500</v>
      </c>
      <c r="Y4" s="200">
        <f>X4*D4</f>
        <v>682599500</v>
      </c>
      <c r="Z4" s="200">
        <f>X4*G4</f>
        <v>86405000</v>
      </c>
      <c r="AA4" s="200">
        <f>X4*H4</f>
        <v>190091000</v>
      </c>
      <c r="AB4" s="200">
        <f>X4*I4</f>
        <v>233293500</v>
      </c>
      <c r="AC4" s="200">
        <f>X4*J4</f>
        <v>172810000</v>
      </c>
      <c r="AD4" s="887" t="s">
        <v>4227</v>
      </c>
      <c r="AE4" s="443"/>
      <c r="AF4" s="443"/>
      <c r="AG4" s="443"/>
      <c r="AH4" s="443"/>
    </row>
    <row r="5" spans="1:34" ht="60">
      <c r="A5" s="451">
        <v>2</v>
      </c>
      <c r="B5" s="91" t="s">
        <v>1869</v>
      </c>
      <c r="C5" s="91" t="s">
        <v>1870</v>
      </c>
      <c r="D5" s="91">
        <f t="shared" ref="D5:D22" si="0">G5+H5+I5+J5</f>
        <v>5</v>
      </c>
      <c r="E5" s="91" t="s">
        <v>791</v>
      </c>
      <c r="F5" s="88" t="s">
        <v>2098</v>
      </c>
      <c r="G5" s="91"/>
      <c r="H5" s="91">
        <v>3</v>
      </c>
      <c r="I5" s="91">
        <v>2</v>
      </c>
      <c r="J5" s="91"/>
      <c r="K5" s="229">
        <v>3</v>
      </c>
      <c r="L5" s="229">
        <v>2</v>
      </c>
      <c r="M5" s="229"/>
      <c r="N5" s="229"/>
      <c r="O5" s="229"/>
      <c r="P5" s="229"/>
      <c r="Q5" s="229"/>
      <c r="R5" s="229"/>
      <c r="S5" s="229"/>
      <c r="T5" s="229"/>
      <c r="U5" s="229"/>
      <c r="V5" s="229"/>
      <c r="W5" s="229"/>
      <c r="X5" s="218">
        <v>9413800</v>
      </c>
      <c r="Y5" s="200">
        <f t="shared" ref="Y5:Y22" si="1">X5*D5</f>
        <v>47069000</v>
      </c>
      <c r="Z5" s="200">
        <f t="shared" ref="Z5:Z22" si="2">X5*G5</f>
        <v>0</v>
      </c>
      <c r="AA5" s="200">
        <f t="shared" ref="AA5:AA22" si="3">X5*H5</f>
        <v>28241400</v>
      </c>
      <c r="AB5" s="200">
        <f t="shared" ref="AB5:AB22" si="4">X5*I5</f>
        <v>18827600</v>
      </c>
      <c r="AC5" s="454">
        <f t="shared" ref="AC5:AC22" si="5">X5*J5</f>
        <v>0</v>
      </c>
      <c r="AD5" s="887" t="s">
        <v>4227</v>
      </c>
      <c r="AE5" s="443"/>
      <c r="AF5" s="443"/>
      <c r="AG5" s="443"/>
      <c r="AH5" s="443"/>
    </row>
    <row r="6" spans="1:34" ht="75">
      <c r="A6" s="451">
        <v>3</v>
      </c>
      <c r="B6" s="91" t="s">
        <v>1871</v>
      </c>
      <c r="C6" s="91" t="s">
        <v>1872</v>
      </c>
      <c r="D6" s="91">
        <f t="shared" si="0"/>
        <v>6</v>
      </c>
      <c r="E6" s="91" t="s">
        <v>791</v>
      </c>
      <c r="F6" s="88" t="s">
        <v>2099</v>
      </c>
      <c r="G6" s="91"/>
      <c r="H6" s="91">
        <v>3</v>
      </c>
      <c r="I6" s="91">
        <v>3</v>
      </c>
      <c r="J6" s="91"/>
      <c r="K6" s="229">
        <v>2</v>
      </c>
      <c r="L6" s="229">
        <v>1</v>
      </c>
      <c r="M6" s="229"/>
      <c r="N6" s="229"/>
      <c r="O6" s="229"/>
      <c r="P6" s="229"/>
      <c r="Q6" s="229"/>
      <c r="R6" s="229"/>
      <c r="S6" s="229"/>
      <c r="T6" s="229">
        <v>3</v>
      </c>
      <c r="U6" s="229"/>
      <c r="V6" s="229"/>
      <c r="W6" s="229"/>
      <c r="X6" s="218">
        <v>32037500</v>
      </c>
      <c r="Y6" s="200">
        <f t="shared" si="1"/>
        <v>192225000</v>
      </c>
      <c r="Z6" s="200">
        <f t="shared" si="2"/>
        <v>0</v>
      </c>
      <c r="AA6" s="200">
        <f t="shared" si="3"/>
        <v>96112500</v>
      </c>
      <c r="AB6" s="200">
        <f t="shared" si="4"/>
        <v>96112500</v>
      </c>
      <c r="AC6" s="454">
        <f t="shared" si="5"/>
        <v>0</v>
      </c>
      <c r="AD6" s="887" t="s">
        <v>4227</v>
      </c>
      <c r="AE6" s="443"/>
      <c r="AF6" s="443"/>
      <c r="AG6" s="443"/>
      <c r="AH6" s="443"/>
    </row>
    <row r="7" spans="1:34" ht="75">
      <c r="A7" s="451">
        <v>4</v>
      </c>
      <c r="B7" s="88" t="s">
        <v>2100</v>
      </c>
      <c r="C7" s="88" t="s">
        <v>2101</v>
      </c>
      <c r="D7" s="91">
        <f t="shared" si="0"/>
        <v>1</v>
      </c>
      <c r="E7" s="91" t="s">
        <v>1737</v>
      </c>
      <c r="F7" s="88" t="s">
        <v>2102</v>
      </c>
      <c r="G7" s="46"/>
      <c r="H7" s="46">
        <v>1</v>
      </c>
      <c r="I7" s="46"/>
      <c r="J7" s="46"/>
      <c r="K7" s="229">
        <v>1</v>
      </c>
      <c r="L7" s="229"/>
      <c r="M7" s="229"/>
      <c r="N7" s="229"/>
      <c r="O7" s="229"/>
      <c r="P7" s="229"/>
      <c r="Q7" s="229"/>
      <c r="R7" s="229"/>
      <c r="S7" s="229"/>
      <c r="T7" s="229"/>
      <c r="U7" s="229"/>
      <c r="V7" s="229"/>
      <c r="W7" s="229"/>
      <c r="X7" s="218">
        <v>8937500</v>
      </c>
      <c r="Y7" s="200">
        <f t="shared" si="1"/>
        <v>8937500</v>
      </c>
      <c r="Z7" s="200">
        <f t="shared" si="2"/>
        <v>0</v>
      </c>
      <c r="AA7" s="200">
        <f t="shared" si="3"/>
        <v>8937500</v>
      </c>
      <c r="AB7" s="200">
        <f t="shared" si="4"/>
        <v>0</v>
      </c>
      <c r="AC7" s="454">
        <f t="shared" si="5"/>
        <v>0</v>
      </c>
      <c r="AD7" s="887" t="s">
        <v>4227</v>
      </c>
      <c r="AE7" s="443"/>
      <c r="AF7" s="443"/>
      <c r="AG7" s="443"/>
      <c r="AH7" s="443"/>
    </row>
    <row r="8" spans="1:34" ht="60">
      <c r="A8" s="451">
        <v>5</v>
      </c>
      <c r="B8" s="91" t="s">
        <v>2103</v>
      </c>
      <c r="C8" s="88" t="s">
        <v>2104</v>
      </c>
      <c r="D8" s="91">
        <f t="shared" si="0"/>
        <v>1</v>
      </c>
      <c r="E8" s="91" t="s">
        <v>791</v>
      </c>
      <c r="F8" s="88" t="s">
        <v>2105</v>
      </c>
      <c r="G8" s="46"/>
      <c r="H8" s="46">
        <v>1</v>
      </c>
      <c r="I8" s="46"/>
      <c r="J8" s="46"/>
      <c r="K8" s="229">
        <v>1</v>
      </c>
      <c r="L8" s="229"/>
      <c r="M8" s="229"/>
      <c r="N8" s="229"/>
      <c r="O8" s="229"/>
      <c r="P8" s="229"/>
      <c r="Q8" s="229"/>
      <c r="R8" s="229"/>
      <c r="S8" s="229"/>
      <c r="T8" s="229"/>
      <c r="U8" s="229"/>
      <c r="V8" s="229"/>
      <c r="W8" s="229"/>
      <c r="X8" s="218">
        <v>8167500</v>
      </c>
      <c r="Y8" s="200">
        <f t="shared" si="1"/>
        <v>8167500</v>
      </c>
      <c r="Z8" s="200">
        <f t="shared" si="2"/>
        <v>0</v>
      </c>
      <c r="AA8" s="200">
        <f t="shared" si="3"/>
        <v>8167500</v>
      </c>
      <c r="AB8" s="200">
        <f t="shared" si="4"/>
        <v>0</v>
      </c>
      <c r="AC8" s="454">
        <f t="shared" si="5"/>
        <v>0</v>
      </c>
      <c r="AD8" s="893" t="s">
        <v>4236</v>
      </c>
      <c r="AE8" s="443"/>
      <c r="AF8" s="443"/>
      <c r="AG8" s="443"/>
      <c r="AH8" s="443"/>
    </row>
    <row r="9" spans="1:34" ht="31.5">
      <c r="A9" s="451">
        <v>6</v>
      </c>
      <c r="B9" s="91" t="s">
        <v>1873</v>
      </c>
      <c r="C9" s="91" t="s">
        <v>1874</v>
      </c>
      <c r="D9" s="91">
        <f t="shared" si="0"/>
        <v>2</v>
      </c>
      <c r="E9" s="91" t="s">
        <v>1737</v>
      </c>
      <c r="F9" s="91" t="s">
        <v>2106</v>
      </c>
      <c r="G9" s="91">
        <v>1</v>
      </c>
      <c r="H9" s="91">
        <v>1</v>
      </c>
      <c r="I9" s="91"/>
      <c r="J9" s="91"/>
      <c r="K9" s="229"/>
      <c r="L9" s="229"/>
      <c r="M9" s="229"/>
      <c r="N9" s="229"/>
      <c r="O9" s="229"/>
      <c r="P9" s="229"/>
      <c r="Q9" s="229"/>
      <c r="R9" s="229"/>
      <c r="S9" s="229"/>
      <c r="T9" s="229">
        <v>1</v>
      </c>
      <c r="U9" s="229"/>
      <c r="V9" s="229"/>
      <c r="W9" s="229"/>
      <c r="X9" s="218">
        <v>6517500</v>
      </c>
      <c r="Y9" s="200">
        <f t="shared" si="1"/>
        <v>13035000</v>
      </c>
      <c r="Z9" s="200">
        <f t="shared" si="2"/>
        <v>6517500</v>
      </c>
      <c r="AA9" s="200">
        <f t="shared" si="3"/>
        <v>6517500</v>
      </c>
      <c r="AB9" s="200">
        <f t="shared" si="4"/>
        <v>0</v>
      </c>
      <c r="AC9" s="454">
        <f t="shared" si="5"/>
        <v>0</v>
      </c>
      <c r="AD9" s="893" t="s">
        <v>4236</v>
      </c>
      <c r="AE9" s="443"/>
      <c r="AF9" s="443"/>
      <c r="AG9" s="443"/>
      <c r="AH9" s="443"/>
    </row>
    <row r="10" spans="1:34" ht="31.5">
      <c r="A10" s="451">
        <v>7</v>
      </c>
      <c r="B10" s="91" t="s">
        <v>2107</v>
      </c>
      <c r="C10" s="91" t="s">
        <v>1876</v>
      </c>
      <c r="D10" s="91">
        <f t="shared" si="0"/>
        <v>6</v>
      </c>
      <c r="E10" s="91" t="s">
        <v>1737</v>
      </c>
      <c r="F10" s="91" t="s">
        <v>2892</v>
      </c>
      <c r="G10" s="46"/>
      <c r="H10" s="46">
        <v>3</v>
      </c>
      <c r="I10" s="46">
        <v>3</v>
      </c>
      <c r="J10" s="46"/>
      <c r="K10" s="229"/>
      <c r="L10" s="229">
        <v>6</v>
      </c>
      <c r="M10" s="229"/>
      <c r="N10" s="229"/>
      <c r="O10" s="229"/>
      <c r="P10" s="229"/>
      <c r="Q10" s="229"/>
      <c r="R10" s="229"/>
      <c r="S10" s="229"/>
      <c r="T10" s="229"/>
      <c r="U10" s="229"/>
      <c r="V10" s="229"/>
      <c r="W10" s="229"/>
      <c r="X10" s="218">
        <v>5197500</v>
      </c>
      <c r="Y10" s="200">
        <f t="shared" si="1"/>
        <v>31185000</v>
      </c>
      <c r="Z10" s="200">
        <f t="shared" si="2"/>
        <v>0</v>
      </c>
      <c r="AA10" s="200">
        <f t="shared" si="3"/>
        <v>15592500</v>
      </c>
      <c r="AB10" s="200">
        <f t="shared" si="4"/>
        <v>15592500</v>
      </c>
      <c r="AC10" s="454">
        <f t="shared" si="5"/>
        <v>0</v>
      </c>
      <c r="AD10" s="893" t="s">
        <v>4236</v>
      </c>
      <c r="AE10" s="443"/>
      <c r="AF10" s="443"/>
      <c r="AG10" s="443"/>
      <c r="AH10" s="443"/>
    </row>
    <row r="11" spans="1:34" ht="45">
      <c r="A11" s="451">
        <v>8</v>
      </c>
      <c r="B11" s="91" t="s">
        <v>2108</v>
      </c>
      <c r="C11" s="91" t="s">
        <v>2109</v>
      </c>
      <c r="D11" s="91">
        <f t="shared" si="0"/>
        <v>0</v>
      </c>
      <c r="E11" s="91" t="s">
        <v>1737</v>
      </c>
      <c r="F11" s="88" t="s">
        <v>2110</v>
      </c>
      <c r="G11" s="91"/>
      <c r="H11" s="91"/>
      <c r="I11" s="91"/>
      <c r="J11" s="91"/>
      <c r="K11" s="229">
        <v>2</v>
      </c>
      <c r="L11" s="229"/>
      <c r="M11" s="229"/>
      <c r="N11" s="229"/>
      <c r="O11" s="229"/>
      <c r="P11" s="229"/>
      <c r="Q11" s="229"/>
      <c r="R11" s="229"/>
      <c r="S11" s="229"/>
      <c r="T11" s="229"/>
      <c r="U11" s="229"/>
      <c r="V11" s="229"/>
      <c r="W11" s="229"/>
      <c r="X11" s="218">
        <v>2577300</v>
      </c>
      <c r="Y11" s="200">
        <f t="shared" si="1"/>
        <v>0</v>
      </c>
      <c r="Z11" s="200">
        <f t="shared" si="2"/>
        <v>0</v>
      </c>
      <c r="AA11" s="200">
        <f t="shared" si="3"/>
        <v>0</v>
      </c>
      <c r="AB11" s="200">
        <f t="shared" si="4"/>
        <v>0</v>
      </c>
      <c r="AC11" s="454">
        <f t="shared" si="5"/>
        <v>0</v>
      </c>
      <c r="AD11" s="893" t="s">
        <v>4236</v>
      </c>
      <c r="AE11" s="443"/>
      <c r="AF11" s="443"/>
      <c r="AG11" s="443"/>
      <c r="AH11" s="443"/>
    </row>
    <row r="12" spans="1:34" ht="31.5">
      <c r="A12" s="451">
        <v>9</v>
      </c>
      <c r="B12" s="91" t="s">
        <v>2111</v>
      </c>
      <c r="C12" s="91" t="s">
        <v>670</v>
      </c>
      <c r="D12" s="91">
        <f t="shared" si="0"/>
        <v>3</v>
      </c>
      <c r="E12" s="91" t="s">
        <v>1737</v>
      </c>
      <c r="F12" s="91" t="s">
        <v>2112</v>
      </c>
      <c r="G12" s="91"/>
      <c r="H12" s="91">
        <v>3</v>
      </c>
      <c r="I12" s="91"/>
      <c r="J12" s="91"/>
      <c r="K12" s="229"/>
      <c r="L12" s="229"/>
      <c r="M12" s="229"/>
      <c r="N12" s="229"/>
      <c r="O12" s="229"/>
      <c r="P12" s="229"/>
      <c r="Q12" s="229"/>
      <c r="R12" s="229"/>
      <c r="S12" s="229"/>
      <c r="T12" s="229">
        <v>1</v>
      </c>
      <c r="U12" s="229"/>
      <c r="V12" s="229">
        <v>1</v>
      </c>
      <c r="W12" s="229"/>
      <c r="X12" s="218">
        <v>9075000</v>
      </c>
      <c r="Y12" s="200">
        <f t="shared" si="1"/>
        <v>27225000</v>
      </c>
      <c r="Z12" s="200">
        <f t="shared" si="2"/>
        <v>0</v>
      </c>
      <c r="AA12" s="200">
        <f t="shared" si="3"/>
        <v>27225000</v>
      </c>
      <c r="AB12" s="200">
        <f t="shared" si="4"/>
        <v>0</v>
      </c>
      <c r="AC12" s="454">
        <f t="shared" si="5"/>
        <v>0</v>
      </c>
      <c r="AD12" s="893" t="s">
        <v>4236</v>
      </c>
      <c r="AE12" s="443"/>
      <c r="AF12" s="443"/>
      <c r="AG12" s="443"/>
      <c r="AH12" s="443"/>
    </row>
    <row r="13" spans="1:34" ht="90">
      <c r="A13" s="451">
        <v>10</v>
      </c>
      <c r="B13" s="91" t="s">
        <v>1877</v>
      </c>
      <c r="C13" s="91" t="s">
        <v>2113</v>
      </c>
      <c r="D13" s="91">
        <f t="shared" si="0"/>
        <v>17</v>
      </c>
      <c r="E13" s="91" t="s">
        <v>1737</v>
      </c>
      <c r="F13" s="88" t="s">
        <v>2114</v>
      </c>
      <c r="G13" s="91"/>
      <c r="H13" s="91">
        <v>6</v>
      </c>
      <c r="I13" s="91">
        <v>6</v>
      </c>
      <c r="J13" s="91">
        <v>5</v>
      </c>
      <c r="K13" s="229">
        <v>7</v>
      </c>
      <c r="L13" s="229"/>
      <c r="M13" s="229">
        <v>2</v>
      </c>
      <c r="N13" s="229"/>
      <c r="O13" s="229">
        <v>2</v>
      </c>
      <c r="P13" s="229"/>
      <c r="Q13" s="229"/>
      <c r="R13" s="229"/>
      <c r="S13" s="229"/>
      <c r="T13" s="229">
        <v>5</v>
      </c>
      <c r="U13" s="229"/>
      <c r="V13" s="229">
        <v>1</v>
      </c>
      <c r="W13" s="229"/>
      <c r="X13" s="218">
        <v>4210800</v>
      </c>
      <c r="Y13" s="200">
        <f t="shared" si="1"/>
        <v>71583600</v>
      </c>
      <c r="Z13" s="200">
        <f t="shared" si="2"/>
        <v>0</v>
      </c>
      <c r="AA13" s="200">
        <f t="shared" si="3"/>
        <v>25264800</v>
      </c>
      <c r="AB13" s="200">
        <f t="shared" si="4"/>
        <v>25264800</v>
      </c>
      <c r="AC13" s="454">
        <f t="shared" si="5"/>
        <v>21054000</v>
      </c>
      <c r="AD13" s="893" t="s">
        <v>4236</v>
      </c>
      <c r="AE13" s="443"/>
      <c r="AF13" s="443"/>
      <c r="AG13" s="443"/>
      <c r="AH13" s="443"/>
    </row>
    <row r="14" spans="1:34" ht="31.5">
      <c r="A14" s="451">
        <v>11</v>
      </c>
      <c r="B14" s="91" t="s">
        <v>1878</v>
      </c>
      <c r="C14" s="91" t="s">
        <v>1879</v>
      </c>
      <c r="D14" s="91">
        <f t="shared" si="0"/>
        <v>1</v>
      </c>
      <c r="E14" s="91" t="s">
        <v>1737</v>
      </c>
      <c r="F14" s="91" t="s">
        <v>2115</v>
      </c>
      <c r="G14" s="91">
        <v>1</v>
      </c>
      <c r="H14" s="94"/>
      <c r="I14" s="94"/>
      <c r="J14" s="94"/>
      <c r="K14" s="229"/>
      <c r="L14" s="229"/>
      <c r="M14" s="229"/>
      <c r="N14" s="229"/>
      <c r="O14" s="229">
        <v>1</v>
      </c>
      <c r="P14" s="229"/>
      <c r="Q14" s="229"/>
      <c r="R14" s="229"/>
      <c r="S14" s="229"/>
      <c r="T14" s="229"/>
      <c r="U14" s="229"/>
      <c r="V14" s="229"/>
      <c r="W14" s="229"/>
      <c r="X14" s="218">
        <v>4300000</v>
      </c>
      <c r="Y14" s="200">
        <f t="shared" si="1"/>
        <v>4300000</v>
      </c>
      <c r="Z14" s="200">
        <f t="shared" si="2"/>
        <v>4300000</v>
      </c>
      <c r="AA14" s="200">
        <f t="shared" si="3"/>
        <v>0</v>
      </c>
      <c r="AB14" s="200">
        <f t="shared" si="4"/>
        <v>0</v>
      </c>
      <c r="AC14" s="454">
        <f t="shared" si="5"/>
        <v>0</v>
      </c>
      <c r="AD14" s="893" t="s">
        <v>4236</v>
      </c>
      <c r="AE14" s="443"/>
      <c r="AF14" s="443"/>
      <c r="AG14" s="443"/>
      <c r="AH14" s="443"/>
    </row>
    <row r="15" spans="1:34" ht="31.5">
      <c r="A15" s="451">
        <v>12</v>
      </c>
      <c r="B15" s="91" t="s">
        <v>1880</v>
      </c>
      <c r="C15" s="91" t="s">
        <v>1881</v>
      </c>
      <c r="D15" s="91">
        <f t="shared" si="0"/>
        <v>1</v>
      </c>
      <c r="E15" s="91" t="s">
        <v>1737</v>
      </c>
      <c r="F15" s="91" t="s">
        <v>2115</v>
      </c>
      <c r="G15" s="91">
        <v>1</v>
      </c>
      <c r="H15" s="94"/>
      <c r="I15" s="94"/>
      <c r="J15" s="94"/>
      <c r="K15" s="229"/>
      <c r="L15" s="229"/>
      <c r="M15" s="229"/>
      <c r="N15" s="229"/>
      <c r="O15" s="229">
        <v>1</v>
      </c>
      <c r="P15" s="229"/>
      <c r="Q15" s="229"/>
      <c r="R15" s="229"/>
      <c r="S15" s="229"/>
      <c r="T15" s="229"/>
      <c r="U15" s="229"/>
      <c r="V15" s="229"/>
      <c r="W15" s="229"/>
      <c r="X15" s="218">
        <v>3700000</v>
      </c>
      <c r="Y15" s="200">
        <f t="shared" si="1"/>
        <v>3700000</v>
      </c>
      <c r="Z15" s="200">
        <f t="shared" si="2"/>
        <v>3700000</v>
      </c>
      <c r="AA15" s="200">
        <f t="shared" si="3"/>
        <v>0</v>
      </c>
      <c r="AB15" s="200">
        <f t="shared" si="4"/>
        <v>0</v>
      </c>
      <c r="AC15" s="454">
        <f t="shared" si="5"/>
        <v>0</v>
      </c>
      <c r="AD15" s="893" t="s">
        <v>4236</v>
      </c>
      <c r="AE15" s="443"/>
      <c r="AF15" s="443"/>
      <c r="AG15" s="443"/>
      <c r="AH15" s="443"/>
    </row>
    <row r="16" spans="1:34" ht="31.5">
      <c r="A16" s="451">
        <v>13</v>
      </c>
      <c r="B16" s="95" t="s">
        <v>664</v>
      </c>
      <c r="C16" s="91" t="s">
        <v>665</v>
      </c>
      <c r="D16" s="91">
        <f t="shared" si="0"/>
        <v>1</v>
      </c>
      <c r="E16" s="91" t="s">
        <v>1737</v>
      </c>
      <c r="F16" s="46" t="s">
        <v>2116</v>
      </c>
      <c r="G16" s="46"/>
      <c r="H16" s="46">
        <v>1</v>
      </c>
      <c r="I16" s="46"/>
      <c r="J16" s="46"/>
      <c r="K16" s="229"/>
      <c r="L16" s="229"/>
      <c r="M16" s="229"/>
      <c r="N16" s="229"/>
      <c r="O16" s="229"/>
      <c r="P16" s="229"/>
      <c r="Q16" s="229">
        <v>1</v>
      </c>
      <c r="R16" s="229"/>
      <c r="S16" s="229"/>
      <c r="T16" s="229"/>
      <c r="U16" s="229"/>
      <c r="V16" s="229"/>
      <c r="W16" s="229"/>
      <c r="X16" s="218">
        <v>55000000</v>
      </c>
      <c r="Y16" s="200">
        <f t="shared" si="1"/>
        <v>55000000</v>
      </c>
      <c r="Z16" s="200">
        <f t="shared" si="2"/>
        <v>0</v>
      </c>
      <c r="AA16" s="200">
        <f t="shared" si="3"/>
        <v>55000000</v>
      </c>
      <c r="AB16" s="200">
        <f t="shared" si="4"/>
        <v>0</v>
      </c>
      <c r="AC16" s="454">
        <f t="shared" si="5"/>
        <v>0</v>
      </c>
      <c r="AD16" s="893" t="s">
        <v>4236</v>
      </c>
      <c r="AE16" s="894"/>
      <c r="AF16" s="443"/>
      <c r="AG16" s="443"/>
      <c r="AH16" s="443"/>
    </row>
    <row r="17" spans="1:34" ht="31.5">
      <c r="A17" s="451">
        <v>14</v>
      </c>
      <c r="B17" s="95" t="s">
        <v>666</v>
      </c>
      <c r="C17" s="91" t="s">
        <v>667</v>
      </c>
      <c r="D17" s="91">
        <f t="shared" si="0"/>
        <v>1</v>
      </c>
      <c r="E17" s="91" t="s">
        <v>1737</v>
      </c>
      <c r="F17" s="46" t="s">
        <v>2116</v>
      </c>
      <c r="G17" s="46"/>
      <c r="H17" s="46">
        <v>1</v>
      </c>
      <c r="I17" s="46"/>
      <c r="J17" s="46"/>
      <c r="K17" s="229"/>
      <c r="L17" s="229"/>
      <c r="M17" s="229"/>
      <c r="N17" s="229"/>
      <c r="O17" s="229"/>
      <c r="P17" s="229"/>
      <c r="Q17" s="229">
        <v>1</v>
      </c>
      <c r="R17" s="229"/>
      <c r="S17" s="229"/>
      <c r="T17" s="229"/>
      <c r="U17" s="229"/>
      <c r="V17" s="229"/>
      <c r="W17" s="229"/>
      <c r="X17" s="218">
        <v>29200000</v>
      </c>
      <c r="Y17" s="200">
        <f t="shared" si="1"/>
        <v>29200000</v>
      </c>
      <c r="Z17" s="200">
        <f t="shared" si="2"/>
        <v>0</v>
      </c>
      <c r="AA17" s="200">
        <f t="shared" si="3"/>
        <v>29200000</v>
      </c>
      <c r="AB17" s="200">
        <f t="shared" si="4"/>
        <v>0</v>
      </c>
      <c r="AC17" s="454">
        <f t="shared" si="5"/>
        <v>0</v>
      </c>
      <c r="AD17" s="893" t="s">
        <v>4236</v>
      </c>
      <c r="AE17" s="443"/>
      <c r="AF17" s="443"/>
      <c r="AG17" s="443"/>
      <c r="AH17" s="443"/>
    </row>
    <row r="18" spans="1:34" ht="31.5">
      <c r="A18" s="451">
        <v>15</v>
      </c>
      <c r="B18" s="95" t="s">
        <v>668</v>
      </c>
      <c r="C18" s="91" t="s">
        <v>669</v>
      </c>
      <c r="D18" s="91">
        <f t="shared" si="0"/>
        <v>1</v>
      </c>
      <c r="E18" s="91" t="s">
        <v>1737</v>
      </c>
      <c r="F18" s="46" t="s">
        <v>2116</v>
      </c>
      <c r="G18" s="46">
        <v>1</v>
      </c>
      <c r="H18" s="46"/>
      <c r="I18" s="46"/>
      <c r="J18" s="46"/>
      <c r="K18" s="229"/>
      <c r="L18" s="229"/>
      <c r="M18" s="229"/>
      <c r="N18" s="229"/>
      <c r="O18" s="229"/>
      <c r="P18" s="229"/>
      <c r="Q18" s="229">
        <v>1</v>
      </c>
      <c r="R18" s="229"/>
      <c r="S18" s="229"/>
      <c r="T18" s="229"/>
      <c r="U18" s="229"/>
      <c r="V18" s="229"/>
      <c r="W18" s="229"/>
      <c r="X18" s="218">
        <v>20480000</v>
      </c>
      <c r="Y18" s="200">
        <f t="shared" si="1"/>
        <v>20480000</v>
      </c>
      <c r="Z18" s="200">
        <f t="shared" si="2"/>
        <v>20480000</v>
      </c>
      <c r="AA18" s="200">
        <f t="shared" si="3"/>
        <v>0</v>
      </c>
      <c r="AB18" s="200">
        <f t="shared" si="4"/>
        <v>0</v>
      </c>
      <c r="AC18" s="454">
        <f t="shared" si="5"/>
        <v>0</v>
      </c>
      <c r="AD18" s="893" t="s">
        <v>4236</v>
      </c>
      <c r="AE18" s="443"/>
      <c r="AF18" s="443"/>
      <c r="AG18" s="443"/>
      <c r="AH18" s="443"/>
    </row>
    <row r="19" spans="1:34" ht="31.5">
      <c r="A19" s="451">
        <v>16</v>
      </c>
      <c r="B19" s="91" t="s">
        <v>672</v>
      </c>
      <c r="C19" s="91" t="s">
        <v>2117</v>
      </c>
      <c r="D19" s="91">
        <f t="shared" si="0"/>
        <v>30</v>
      </c>
      <c r="E19" s="46" t="s">
        <v>1737</v>
      </c>
      <c r="F19" s="46" t="s">
        <v>2116</v>
      </c>
      <c r="G19" s="46"/>
      <c r="H19" s="46">
        <v>10</v>
      </c>
      <c r="I19" s="46">
        <v>10</v>
      </c>
      <c r="J19" s="46">
        <v>10</v>
      </c>
      <c r="K19" s="229"/>
      <c r="L19" s="229">
        <v>10</v>
      </c>
      <c r="M19" s="229"/>
      <c r="N19" s="229"/>
      <c r="O19" s="229"/>
      <c r="P19" s="229"/>
      <c r="Q19" s="229">
        <v>20</v>
      </c>
      <c r="R19" s="229"/>
      <c r="S19" s="229"/>
      <c r="T19" s="229"/>
      <c r="U19" s="229"/>
      <c r="V19" s="229"/>
      <c r="W19" s="229"/>
      <c r="X19" s="218">
        <v>2084500</v>
      </c>
      <c r="Y19" s="200">
        <f t="shared" si="1"/>
        <v>62535000</v>
      </c>
      <c r="Z19" s="200">
        <f t="shared" si="2"/>
        <v>0</v>
      </c>
      <c r="AA19" s="200">
        <f t="shared" si="3"/>
        <v>20845000</v>
      </c>
      <c r="AB19" s="200">
        <f t="shared" si="4"/>
        <v>20845000</v>
      </c>
      <c r="AC19" s="454">
        <f t="shared" si="5"/>
        <v>20845000</v>
      </c>
      <c r="AD19" s="893" t="s">
        <v>4236</v>
      </c>
      <c r="AE19" s="443"/>
      <c r="AF19" s="443"/>
      <c r="AG19" s="443"/>
      <c r="AH19" s="443"/>
    </row>
    <row r="20" spans="1:34" ht="31.5">
      <c r="A20" s="451">
        <v>17</v>
      </c>
      <c r="B20" s="46" t="s">
        <v>2118</v>
      </c>
      <c r="C20" s="91" t="s">
        <v>2119</v>
      </c>
      <c r="D20" s="91">
        <f t="shared" si="0"/>
        <v>1</v>
      </c>
      <c r="E20" s="46" t="s">
        <v>1737</v>
      </c>
      <c r="F20" s="46" t="s">
        <v>2116</v>
      </c>
      <c r="G20" s="46"/>
      <c r="H20" s="46">
        <v>1</v>
      </c>
      <c r="I20" s="46"/>
      <c r="J20" s="46"/>
      <c r="K20" s="229"/>
      <c r="L20" s="229"/>
      <c r="M20" s="229"/>
      <c r="N20" s="229"/>
      <c r="O20" s="229"/>
      <c r="P20" s="229"/>
      <c r="Q20" s="229">
        <v>1</v>
      </c>
      <c r="R20" s="229"/>
      <c r="S20" s="229"/>
      <c r="T20" s="229"/>
      <c r="U20" s="229"/>
      <c r="V20" s="229"/>
      <c r="W20" s="229"/>
      <c r="X20" s="401">
        <v>13200000</v>
      </c>
      <c r="Y20" s="200">
        <f t="shared" si="1"/>
        <v>13200000</v>
      </c>
      <c r="Z20" s="200">
        <f t="shared" si="2"/>
        <v>0</v>
      </c>
      <c r="AA20" s="200">
        <f t="shared" si="3"/>
        <v>13200000</v>
      </c>
      <c r="AB20" s="200">
        <f t="shared" si="4"/>
        <v>0</v>
      </c>
      <c r="AC20" s="454">
        <f t="shared" si="5"/>
        <v>0</v>
      </c>
      <c r="AD20" s="893" t="s">
        <v>4236</v>
      </c>
      <c r="AE20" s="443"/>
      <c r="AF20" s="443"/>
      <c r="AG20" s="443"/>
      <c r="AH20" s="443"/>
    </row>
    <row r="21" spans="1:34" ht="31.5">
      <c r="A21" s="451">
        <v>18</v>
      </c>
      <c r="B21" s="95" t="s">
        <v>1410</v>
      </c>
      <c r="C21" s="91" t="s">
        <v>2120</v>
      </c>
      <c r="D21" s="91">
        <f t="shared" si="0"/>
        <v>5</v>
      </c>
      <c r="E21" s="91" t="s">
        <v>1737</v>
      </c>
      <c r="F21" s="46" t="s">
        <v>2116</v>
      </c>
      <c r="G21" s="91"/>
      <c r="H21" s="91">
        <v>5</v>
      </c>
      <c r="I21" s="91"/>
      <c r="J21" s="91"/>
      <c r="K21" s="229"/>
      <c r="L21" s="229"/>
      <c r="M21" s="229"/>
      <c r="N21" s="229"/>
      <c r="O21" s="229"/>
      <c r="P21" s="229"/>
      <c r="Q21" s="229"/>
      <c r="R21" s="229"/>
      <c r="S21" s="229"/>
      <c r="T21" s="229">
        <v>5</v>
      </c>
      <c r="U21" s="229"/>
      <c r="V21" s="229"/>
      <c r="W21" s="229"/>
      <c r="X21" s="218">
        <v>5307500</v>
      </c>
      <c r="Y21" s="200">
        <f t="shared" si="1"/>
        <v>26537500</v>
      </c>
      <c r="Z21" s="200">
        <f t="shared" si="2"/>
        <v>0</v>
      </c>
      <c r="AA21" s="200">
        <f t="shared" si="3"/>
        <v>26537500</v>
      </c>
      <c r="AB21" s="200">
        <f t="shared" si="4"/>
        <v>0</v>
      </c>
      <c r="AC21" s="454">
        <f t="shared" si="5"/>
        <v>0</v>
      </c>
      <c r="AD21" s="893" t="s">
        <v>4236</v>
      </c>
      <c r="AE21" s="443"/>
      <c r="AF21" s="443"/>
      <c r="AG21" s="443"/>
      <c r="AH21" s="443"/>
    </row>
    <row r="22" spans="1:34" ht="31.5">
      <c r="A22" s="451">
        <v>19</v>
      </c>
      <c r="B22" s="91" t="s">
        <v>1875</v>
      </c>
      <c r="C22" s="91" t="s">
        <v>2121</v>
      </c>
      <c r="D22" s="91">
        <f t="shared" si="0"/>
        <v>13</v>
      </c>
      <c r="E22" s="91" t="s">
        <v>1737</v>
      </c>
      <c r="F22" s="46" t="s">
        <v>2116</v>
      </c>
      <c r="G22" s="91"/>
      <c r="H22" s="91">
        <v>5</v>
      </c>
      <c r="I22" s="91">
        <v>5</v>
      </c>
      <c r="J22" s="91">
        <v>3</v>
      </c>
      <c r="K22" s="438"/>
      <c r="L22" s="438">
        <v>10</v>
      </c>
      <c r="M22" s="438"/>
      <c r="N22" s="438"/>
      <c r="O22" s="438"/>
      <c r="P22" s="438"/>
      <c r="Q22" s="438"/>
      <c r="R22" s="438">
        <v>3</v>
      </c>
      <c r="S22" s="438"/>
      <c r="T22" s="438"/>
      <c r="U22" s="438"/>
      <c r="V22" s="438"/>
      <c r="W22" s="438"/>
      <c r="X22" s="218">
        <v>61600</v>
      </c>
      <c r="Y22" s="200">
        <f t="shared" si="1"/>
        <v>800800</v>
      </c>
      <c r="Z22" s="200">
        <f t="shared" si="2"/>
        <v>0</v>
      </c>
      <c r="AA22" s="200">
        <f t="shared" si="3"/>
        <v>308000</v>
      </c>
      <c r="AB22" s="200">
        <f t="shared" si="4"/>
        <v>308000</v>
      </c>
      <c r="AC22" s="454">
        <f t="shared" si="5"/>
        <v>184800</v>
      </c>
      <c r="AD22" s="893" t="s">
        <v>4236</v>
      </c>
      <c r="AE22" s="443"/>
      <c r="AF22" s="443"/>
      <c r="AG22" s="443"/>
      <c r="AH22" s="443"/>
    </row>
    <row r="23" spans="1:34">
      <c r="A23" s="443"/>
      <c r="B23" s="443"/>
      <c r="C23" s="443"/>
      <c r="D23" s="443"/>
      <c r="E23" s="443"/>
      <c r="F23" s="443"/>
      <c r="G23" s="443"/>
      <c r="H23" s="443"/>
      <c r="I23" s="443"/>
      <c r="J23" s="443"/>
      <c r="K23" s="443"/>
      <c r="L23" s="443"/>
      <c r="M23" s="443"/>
      <c r="N23" s="443"/>
      <c r="O23" s="443"/>
      <c r="P23" s="443"/>
      <c r="Q23" s="443"/>
      <c r="R23" s="443"/>
      <c r="S23" s="443"/>
      <c r="T23" s="443"/>
      <c r="U23" s="443"/>
      <c r="V23" s="443"/>
      <c r="W23" s="443"/>
      <c r="X23" s="218"/>
      <c r="Y23" s="444">
        <f>SUM(Y4:Y22)</f>
        <v>1297780400</v>
      </c>
      <c r="Z23" s="444">
        <f>SUM(Z4:Z22)</f>
        <v>121402500</v>
      </c>
      <c r="AA23" s="444">
        <f>SUM(AA4:AA22)</f>
        <v>551240200</v>
      </c>
      <c r="AB23" s="444">
        <f>SUM(AB4:AB22)</f>
        <v>410243900</v>
      </c>
      <c r="AC23" s="444">
        <f>SUM(AC4:AC22)</f>
        <v>214893800</v>
      </c>
      <c r="AD23" s="892"/>
      <c r="AE23" s="443"/>
      <c r="AF23" s="443"/>
      <c r="AG23" s="443"/>
      <c r="AH23" s="443"/>
    </row>
    <row r="24" spans="1:34">
      <c r="A24" s="1230" t="s">
        <v>3052</v>
      </c>
      <c r="B24" s="1231"/>
      <c r="C24" s="1231"/>
      <c r="D24" s="1231"/>
      <c r="E24" s="1231"/>
      <c r="F24" s="1231"/>
      <c r="G24" s="1231"/>
      <c r="H24" s="1231"/>
      <c r="I24" s="1231"/>
      <c r="J24" s="1231"/>
      <c r="K24" s="1231"/>
      <c r="L24" s="1231"/>
      <c r="M24" s="1231"/>
      <c r="N24" s="1231"/>
      <c r="O24" s="1231"/>
      <c r="P24" s="1231"/>
      <c r="Q24" s="1231"/>
      <c r="R24" s="1231"/>
      <c r="S24" s="1231"/>
      <c r="T24" s="1231"/>
      <c r="U24" s="1231"/>
      <c r="V24" s="1231"/>
      <c r="W24" s="1231"/>
      <c r="X24" s="1231"/>
      <c r="Y24" s="1231"/>
      <c r="Z24" s="1231"/>
      <c r="AA24" s="1231"/>
      <c r="AB24" s="1231"/>
      <c r="AC24" s="1232"/>
      <c r="AD24" s="892"/>
      <c r="AE24" s="443"/>
      <c r="AF24" s="443"/>
      <c r="AG24" s="443"/>
      <c r="AH24" s="443"/>
    </row>
    <row r="25" spans="1:34" ht="408.75" customHeight="1">
      <c r="A25" s="67">
        <v>1</v>
      </c>
      <c r="B25" s="67" t="s">
        <v>811</v>
      </c>
      <c r="C25" s="67" t="s">
        <v>812</v>
      </c>
      <c r="D25" s="79" t="s">
        <v>126</v>
      </c>
      <c r="E25" s="65">
        <f t="shared" ref="E25:E37" si="6">G25+H25+I25+J25</f>
        <v>10</v>
      </c>
      <c r="F25" s="67" t="s">
        <v>2144</v>
      </c>
      <c r="G25" s="427">
        <v>0</v>
      </c>
      <c r="H25" s="67">
        <v>10</v>
      </c>
      <c r="I25" s="67">
        <v>0</v>
      </c>
      <c r="J25" s="130">
        <v>0</v>
      </c>
      <c r="K25" s="443"/>
      <c r="L25" s="443"/>
      <c r="M25" s="443"/>
      <c r="N25" s="443"/>
      <c r="O25" s="443"/>
      <c r="P25" s="443"/>
      <c r="Q25" s="443"/>
      <c r="R25" s="443"/>
      <c r="S25" s="443"/>
      <c r="T25" s="443"/>
      <c r="U25" s="443"/>
      <c r="V25" s="443"/>
      <c r="W25" s="443"/>
      <c r="X25" s="189">
        <v>4500000</v>
      </c>
      <c r="Y25" s="185">
        <f t="shared" ref="Y25:Y37" si="7">X25*E25</f>
        <v>45000000</v>
      </c>
      <c r="Z25" s="186">
        <f>X25*G25</f>
        <v>0</v>
      </c>
      <c r="AA25" s="188">
        <f>X25*H25</f>
        <v>45000000</v>
      </c>
      <c r="AB25" s="190">
        <f>X25*I25</f>
        <v>0</v>
      </c>
      <c r="AC25" s="216">
        <f t="shared" ref="AC25:AC37" si="8">X25*J25</f>
        <v>0</v>
      </c>
      <c r="AD25" s="893" t="s">
        <v>4236</v>
      </c>
      <c r="AE25" s="443"/>
      <c r="AF25" s="443"/>
      <c r="AG25" s="443"/>
      <c r="AH25" s="443"/>
    </row>
    <row r="26" spans="1:34" ht="94.5">
      <c r="A26" s="453">
        <v>2</v>
      </c>
      <c r="B26" s="103" t="s">
        <v>813</v>
      </c>
      <c r="C26" s="67" t="s">
        <v>814</v>
      </c>
      <c r="D26" s="79" t="s">
        <v>126</v>
      </c>
      <c r="E26" s="65">
        <f t="shared" si="6"/>
        <v>7</v>
      </c>
      <c r="F26" s="67" t="s">
        <v>2145</v>
      </c>
      <c r="G26" s="427">
        <v>0</v>
      </c>
      <c r="H26" s="67">
        <v>7</v>
      </c>
      <c r="I26" s="67">
        <v>0</v>
      </c>
      <c r="J26" s="446"/>
      <c r="K26" s="443"/>
      <c r="L26" s="443"/>
      <c r="M26" s="443"/>
      <c r="N26" s="443"/>
      <c r="O26" s="443"/>
      <c r="P26" s="443"/>
      <c r="Q26" s="443"/>
      <c r="R26" s="443"/>
      <c r="S26" s="443"/>
      <c r="T26" s="443"/>
      <c r="U26" s="443"/>
      <c r="V26" s="443"/>
      <c r="W26" s="443"/>
      <c r="X26" s="189">
        <v>5500000</v>
      </c>
      <c r="Y26" s="185">
        <f t="shared" si="7"/>
        <v>38500000</v>
      </c>
      <c r="Z26" s="186">
        <f>X26*H26</f>
        <v>38500000</v>
      </c>
      <c r="AA26" s="188">
        <f>X26*I26</f>
        <v>0</v>
      </c>
      <c r="AB26" s="188">
        <f>Y26*J26</f>
        <v>0</v>
      </c>
      <c r="AC26" s="188">
        <f t="shared" si="8"/>
        <v>0</v>
      </c>
      <c r="AD26" s="893" t="s">
        <v>4236</v>
      </c>
      <c r="AE26" s="443"/>
      <c r="AF26" s="443"/>
      <c r="AG26" s="443"/>
      <c r="AH26" s="443"/>
    </row>
    <row r="27" spans="1:34" ht="110.25">
      <c r="A27" s="453">
        <v>3</v>
      </c>
      <c r="B27" s="103" t="s">
        <v>4715</v>
      </c>
      <c r="C27" s="67" t="s">
        <v>816</v>
      </c>
      <c r="D27" s="79" t="s">
        <v>126</v>
      </c>
      <c r="E27" s="65">
        <f t="shared" si="6"/>
        <v>4</v>
      </c>
      <c r="F27" s="67" t="s">
        <v>836</v>
      </c>
      <c r="G27" s="427">
        <v>0</v>
      </c>
      <c r="H27" s="67">
        <v>4</v>
      </c>
      <c r="I27" s="67">
        <v>0</v>
      </c>
      <c r="J27" s="446"/>
      <c r="K27" s="443"/>
      <c r="L27" s="443"/>
      <c r="M27" s="443"/>
      <c r="N27" s="443"/>
      <c r="O27" s="443"/>
      <c r="P27" s="443"/>
      <c r="Q27" s="443"/>
      <c r="R27" s="443"/>
      <c r="S27" s="443"/>
      <c r="T27" s="443"/>
      <c r="U27" s="443"/>
      <c r="V27" s="443"/>
      <c r="W27" s="443"/>
      <c r="X27" s="189">
        <v>13200000</v>
      </c>
      <c r="Y27" s="185">
        <f t="shared" si="7"/>
        <v>52800000</v>
      </c>
      <c r="Z27" s="186">
        <f t="shared" ref="Z27:Z37" si="9">X27*G27</f>
        <v>0</v>
      </c>
      <c r="AA27" s="188">
        <f t="shared" ref="AA27:AA37" si="10">X27*H27</f>
        <v>52800000</v>
      </c>
      <c r="AB27" s="190">
        <f t="shared" ref="AB27:AB37" si="11">X27*I27</f>
        <v>0</v>
      </c>
      <c r="AC27" s="216">
        <f t="shared" si="8"/>
        <v>0</v>
      </c>
      <c r="AD27" s="893" t="s">
        <v>4236</v>
      </c>
      <c r="AE27" s="443"/>
      <c r="AF27" s="443"/>
      <c r="AG27" s="443"/>
      <c r="AH27" s="443"/>
    </row>
    <row r="28" spans="1:34" ht="78.75">
      <c r="A28" s="453">
        <v>4</v>
      </c>
      <c r="B28" s="103" t="s">
        <v>817</v>
      </c>
      <c r="C28" s="67" t="s">
        <v>818</v>
      </c>
      <c r="D28" s="79" t="s">
        <v>126</v>
      </c>
      <c r="E28" s="65">
        <f t="shared" si="6"/>
        <v>8</v>
      </c>
      <c r="F28" s="67" t="s">
        <v>2146</v>
      </c>
      <c r="G28" s="427">
        <v>0</v>
      </c>
      <c r="H28" s="67">
        <v>4</v>
      </c>
      <c r="I28" s="67">
        <v>4</v>
      </c>
      <c r="J28" s="446"/>
      <c r="K28" s="443"/>
      <c r="L28" s="443"/>
      <c r="M28" s="443"/>
      <c r="N28" s="443"/>
      <c r="O28" s="443"/>
      <c r="P28" s="443"/>
      <c r="Q28" s="443"/>
      <c r="R28" s="443"/>
      <c r="S28" s="443"/>
      <c r="T28" s="443"/>
      <c r="U28" s="443"/>
      <c r="V28" s="443"/>
      <c r="W28" s="443"/>
      <c r="X28" s="189">
        <v>900000</v>
      </c>
      <c r="Y28" s="185">
        <f t="shared" si="7"/>
        <v>7200000</v>
      </c>
      <c r="Z28" s="186">
        <f t="shared" si="9"/>
        <v>0</v>
      </c>
      <c r="AA28" s="188">
        <f t="shared" si="10"/>
        <v>3600000</v>
      </c>
      <c r="AB28" s="190">
        <f t="shared" si="11"/>
        <v>3600000</v>
      </c>
      <c r="AC28" s="216">
        <f t="shared" si="8"/>
        <v>0</v>
      </c>
      <c r="AD28" s="893" t="s">
        <v>4236</v>
      </c>
      <c r="AE28" s="443"/>
      <c r="AF28" s="443"/>
      <c r="AG28" s="443"/>
      <c r="AH28" s="443"/>
    </row>
    <row r="29" spans="1:34" ht="78.75">
      <c r="A29" s="453">
        <v>5</v>
      </c>
      <c r="B29" s="103" t="s">
        <v>819</v>
      </c>
      <c r="C29" s="67" t="s">
        <v>820</v>
      </c>
      <c r="D29" s="79" t="s">
        <v>126</v>
      </c>
      <c r="E29" s="65">
        <f t="shared" si="6"/>
        <v>8</v>
      </c>
      <c r="F29" s="67" t="s">
        <v>2065</v>
      </c>
      <c r="G29" s="427">
        <v>0</v>
      </c>
      <c r="H29" s="67">
        <v>8</v>
      </c>
      <c r="I29" s="67">
        <v>0</v>
      </c>
      <c r="J29" s="446"/>
      <c r="K29" s="443"/>
      <c r="L29" s="443"/>
      <c r="M29" s="443"/>
      <c r="N29" s="443"/>
      <c r="O29" s="443"/>
      <c r="P29" s="443"/>
      <c r="Q29" s="443"/>
      <c r="R29" s="443"/>
      <c r="S29" s="443"/>
      <c r="T29" s="443"/>
      <c r="U29" s="443"/>
      <c r="V29" s="443"/>
      <c r="W29" s="443"/>
      <c r="X29" s="189">
        <v>250000</v>
      </c>
      <c r="Y29" s="185">
        <f t="shared" si="7"/>
        <v>2000000</v>
      </c>
      <c r="Z29" s="186">
        <f t="shared" si="9"/>
        <v>0</v>
      </c>
      <c r="AA29" s="188">
        <f t="shared" si="10"/>
        <v>2000000</v>
      </c>
      <c r="AB29" s="190">
        <f t="shared" si="11"/>
        <v>0</v>
      </c>
      <c r="AC29" s="216">
        <f t="shared" si="8"/>
        <v>0</v>
      </c>
      <c r="AD29" s="893" t="s">
        <v>4236</v>
      </c>
      <c r="AE29" s="443"/>
      <c r="AF29" s="443"/>
      <c r="AG29" s="443"/>
      <c r="AH29" s="443"/>
    </row>
    <row r="30" spans="1:34" ht="110.25">
      <c r="A30" s="453">
        <v>6</v>
      </c>
      <c r="B30" s="103" t="s">
        <v>821</v>
      </c>
      <c r="C30" s="67" t="s">
        <v>822</v>
      </c>
      <c r="D30" s="79" t="s">
        <v>126</v>
      </c>
      <c r="E30" s="65">
        <f t="shared" si="6"/>
        <v>3</v>
      </c>
      <c r="F30" s="67" t="s">
        <v>2066</v>
      </c>
      <c r="G30" s="427">
        <v>0</v>
      </c>
      <c r="H30" s="67">
        <v>3</v>
      </c>
      <c r="I30" s="67">
        <v>0</v>
      </c>
      <c r="J30" s="130"/>
      <c r="K30" s="443"/>
      <c r="L30" s="443"/>
      <c r="M30" s="443"/>
      <c r="N30" s="443"/>
      <c r="O30" s="443"/>
      <c r="P30" s="443"/>
      <c r="Q30" s="443"/>
      <c r="R30" s="443"/>
      <c r="S30" s="443"/>
      <c r="T30" s="443"/>
      <c r="U30" s="443"/>
      <c r="V30" s="443"/>
      <c r="W30" s="443"/>
      <c r="X30" s="189">
        <v>1600000</v>
      </c>
      <c r="Y30" s="185">
        <f t="shared" si="7"/>
        <v>4800000</v>
      </c>
      <c r="Z30" s="395">
        <f t="shared" si="9"/>
        <v>0</v>
      </c>
      <c r="AA30" s="395">
        <f t="shared" si="10"/>
        <v>4800000</v>
      </c>
      <c r="AB30" s="395">
        <f t="shared" si="11"/>
        <v>0</v>
      </c>
      <c r="AC30" s="395">
        <f t="shared" si="8"/>
        <v>0</v>
      </c>
      <c r="AD30" s="893" t="s">
        <v>4236</v>
      </c>
      <c r="AE30" s="443"/>
      <c r="AF30" s="443"/>
      <c r="AG30" s="443"/>
      <c r="AH30" s="443"/>
    </row>
    <row r="31" spans="1:34" ht="110.25">
      <c r="A31" s="453">
        <v>7</v>
      </c>
      <c r="B31" s="427" t="s">
        <v>823</v>
      </c>
      <c r="C31" s="67" t="s">
        <v>824</v>
      </c>
      <c r="D31" s="427" t="s">
        <v>126</v>
      </c>
      <c r="E31" s="65">
        <f t="shared" si="6"/>
        <v>2</v>
      </c>
      <c r="F31" s="67" t="s">
        <v>2067</v>
      </c>
      <c r="G31" s="427">
        <v>0</v>
      </c>
      <c r="H31" s="67">
        <v>2</v>
      </c>
      <c r="I31" s="67">
        <v>0</v>
      </c>
      <c r="J31" s="130">
        <v>0</v>
      </c>
      <c r="K31" s="443"/>
      <c r="L31" s="443"/>
      <c r="M31" s="443"/>
      <c r="N31" s="443"/>
      <c r="O31" s="443"/>
      <c r="P31" s="443"/>
      <c r="Q31" s="443"/>
      <c r="R31" s="443"/>
      <c r="S31" s="443"/>
      <c r="T31" s="443"/>
      <c r="U31" s="443"/>
      <c r="V31" s="443"/>
      <c r="W31" s="443"/>
      <c r="X31" s="189">
        <v>4500000</v>
      </c>
      <c r="Y31" s="185">
        <f t="shared" si="7"/>
        <v>9000000</v>
      </c>
      <c r="Z31" s="395">
        <f t="shared" si="9"/>
        <v>0</v>
      </c>
      <c r="AA31" s="395">
        <f t="shared" si="10"/>
        <v>9000000</v>
      </c>
      <c r="AB31" s="395">
        <f t="shared" si="11"/>
        <v>0</v>
      </c>
      <c r="AC31" s="395">
        <f t="shared" si="8"/>
        <v>0</v>
      </c>
      <c r="AD31" s="893" t="s">
        <v>4236</v>
      </c>
      <c r="AE31" s="443"/>
      <c r="AF31" s="443"/>
      <c r="AG31" s="443"/>
      <c r="AH31" s="443"/>
    </row>
    <row r="32" spans="1:34" ht="220.5">
      <c r="A32" s="453">
        <v>8</v>
      </c>
      <c r="B32" s="67" t="s">
        <v>825</v>
      </c>
      <c r="C32" s="427" t="s">
        <v>826</v>
      </c>
      <c r="D32" s="427" t="s">
        <v>2068</v>
      </c>
      <c r="E32" s="65">
        <f t="shared" si="6"/>
        <v>21</v>
      </c>
      <c r="F32" s="67" t="s">
        <v>2069</v>
      </c>
      <c r="G32" s="427">
        <v>0</v>
      </c>
      <c r="H32" s="67">
        <v>21</v>
      </c>
      <c r="I32" s="67">
        <v>0</v>
      </c>
      <c r="J32" s="130">
        <v>0</v>
      </c>
      <c r="K32" s="443"/>
      <c r="L32" s="443"/>
      <c r="M32" s="443"/>
      <c r="N32" s="443"/>
      <c r="O32" s="443"/>
      <c r="P32" s="443"/>
      <c r="Q32" s="443"/>
      <c r="R32" s="443"/>
      <c r="S32" s="443"/>
      <c r="T32" s="443"/>
      <c r="U32" s="443"/>
      <c r="V32" s="443"/>
      <c r="W32" s="443"/>
      <c r="X32" s="189">
        <v>600000</v>
      </c>
      <c r="Y32" s="185">
        <f t="shared" si="7"/>
        <v>12600000</v>
      </c>
      <c r="Z32" s="395">
        <f t="shared" si="9"/>
        <v>0</v>
      </c>
      <c r="AA32" s="395">
        <f t="shared" si="10"/>
        <v>12600000</v>
      </c>
      <c r="AB32" s="395">
        <f t="shared" si="11"/>
        <v>0</v>
      </c>
      <c r="AC32" s="395">
        <f t="shared" si="8"/>
        <v>0</v>
      </c>
      <c r="AD32" s="893" t="s">
        <v>4236</v>
      </c>
      <c r="AE32" s="443"/>
      <c r="AF32" s="443"/>
      <c r="AG32" s="443"/>
      <c r="AH32" s="443"/>
    </row>
    <row r="33" spans="1:34" ht="47.25">
      <c r="A33" s="453">
        <v>9</v>
      </c>
      <c r="B33" s="67" t="s">
        <v>827</v>
      </c>
      <c r="C33" s="427" t="s">
        <v>828</v>
      </c>
      <c r="D33" s="427" t="s">
        <v>126</v>
      </c>
      <c r="E33" s="65">
        <f t="shared" si="6"/>
        <v>5</v>
      </c>
      <c r="F33" s="67" t="s">
        <v>2070</v>
      </c>
      <c r="G33" s="427">
        <v>0</v>
      </c>
      <c r="H33" s="67">
        <v>5</v>
      </c>
      <c r="I33" s="67">
        <v>0</v>
      </c>
      <c r="J33" s="130">
        <v>0</v>
      </c>
      <c r="K33" s="443"/>
      <c r="L33" s="443"/>
      <c r="M33" s="443"/>
      <c r="N33" s="443"/>
      <c r="O33" s="443"/>
      <c r="P33" s="443"/>
      <c r="Q33" s="443"/>
      <c r="R33" s="443"/>
      <c r="S33" s="443"/>
      <c r="T33" s="443"/>
      <c r="U33" s="443"/>
      <c r="V33" s="443"/>
      <c r="W33" s="443"/>
      <c r="X33" s="189">
        <v>550000</v>
      </c>
      <c r="Y33" s="185">
        <f t="shared" si="7"/>
        <v>2750000</v>
      </c>
      <c r="Z33" s="186">
        <f t="shared" si="9"/>
        <v>0</v>
      </c>
      <c r="AA33" s="188">
        <f t="shared" si="10"/>
        <v>2750000</v>
      </c>
      <c r="AB33" s="190">
        <f t="shared" si="11"/>
        <v>0</v>
      </c>
      <c r="AC33" s="216">
        <f t="shared" si="8"/>
        <v>0</v>
      </c>
      <c r="AD33" s="893" t="s">
        <v>4236</v>
      </c>
      <c r="AE33" s="443"/>
      <c r="AF33" s="443"/>
      <c r="AG33" s="443"/>
      <c r="AH33" s="443"/>
    </row>
    <row r="34" spans="1:34" ht="47.25">
      <c r="A34" s="453">
        <v>10</v>
      </c>
      <c r="B34" s="67" t="s">
        <v>829</v>
      </c>
      <c r="C34" s="427" t="s">
        <v>828</v>
      </c>
      <c r="D34" s="427" t="s">
        <v>126</v>
      </c>
      <c r="E34" s="65">
        <f t="shared" si="6"/>
        <v>5</v>
      </c>
      <c r="F34" s="67" t="s">
        <v>2070</v>
      </c>
      <c r="G34" s="427">
        <v>0</v>
      </c>
      <c r="H34" s="67">
        <v>5</v>
      </c>
      <c r="I34" s="67">
        <v>0</v>
      </c>
      <c r="J34" s="130">
        <v>0</v>
      </c>
      <c r="K34" s="443"/>
      <c r="L34" s="443"/>
      <c r="M34" s="443"/>
      <c r="N34" s="443"/>
      <c r="O34" s="443"/>
      <c r="P34" s="443"/>
      <c r="Q34" s="443"/>
      <c r="R34" s="443"/>
      <c r="S34" s="443"/>
      <c r="T34" s="443"/>
      <c r="U34" s="443"/>
      <c r="V34" s="443"/>
      <c r="W34" s="443"/>
      <c r="X34" s="189">
        <v>550000</v>
      </c>
      <c r="Y34" s="185">
        <f t="shared" si="7"/>
        <v>2750000</v>
      </c>
      <c r="Z34" s="186">
        <f t="shared" si="9"/>
        <v>0</v>
      </c>
      <c r="AA34" s="188">
        <f t="shared" si="10"/>
        <v>2750000</v>
      </c>
      <c r="AB34" s="190">
        <f t="shared" si="11"/>
        <v>0</v>
      </c>
      <c r="AC34" s="216">
        <f t="shared" si="8"/>
        <v>0</v>
      </c>
      <c r="AD34" s="893" t="s">
        <v>4236</v>
      </c>
      <c r="AE34" s="443"/>
      <c r="AF34" s="443"/>
      <c r="AG34" s="443"/>
      <c r="AH34" s="443"/>
    </row>
    <row r="35" spans="1:34" ht="47.25">
      <c r="A35" s="453">
        <v>11</v>
      </c>
      <c r="B35" s="67" t="s">
        <v>830</v>
      </c>
      <c r="C35" s="427" t="s">
        <v>831</v>
      </c>
      <c r="D35" s="427" t="s">
        <v>126</v>
      </c>
      <c r="E35" s="65">
        <f t="shared" si="6"/>
        <v>5</v>
      </c>
      <c r="F35" s="67" t="s">
        <v>2070</v>
      </c>
      <c r="G35" s="427">
        <v>0</v>
      </c>
      <c r="H35" s="67">
        <v>5</v>
      </c>
      <c r="I35" s="67">
        <v>0</v>
      </c>
      <c r="J35" s="130">
        <v>0</v>
      </c>
      <c r="K35" s="443"/>
      <c r="L35" s="443"/>
      <c r="M35" s="443"/>
      <c r="N35" s="443"/>
      <c r="O35" s="443"/>
      <c r="P35" s="443"/>
      <c r="Q35" s="443"/>
      <c r="R35" s="443"/>
      <c r="S35" s="443"/>
      <c r="T35" s="443"/>
      <c r="U35" s="443"/>
      <c r="V35" s="443"/>
      <c r="W35" s="443"/>
      <c r="X35" s="189">
        <v>550000</v>
      </c>
      <c r="Y35" s="185">
        <f t="shared" si="7"/>
        <v>2750000</v>
      </c>
      <c r="Z35" s="186">
        <f t="shared" si="9"/>
        <v>0</v>
      </c>
      <c r="AA35" s="188">
        <f t="shared" si="10"/>
        <v>2750000</v>
      </c>
      <c r="AB35" s="190">
        <f t="shared" si="11"/>
        <v>0</v>
      </c>
      <c r="AC35" s="216">
        <f t="shared" si="8"/>
        <v>0</v>
      </c>
      <c r="AD35" s="893" t="s">
        <v>4236</v>
      </c>
      <c r="AE35" s="443"/>
      <c r="AF35" s="443"/>
      <c r="AG35" s="443"/>
      <c r="AH35" s="443"/>
    </row>
    <row r="36" spans="1:34" ht="47.25">
      <c r="A36" s="453">
        <v>12</v>
      </c>
      <c r="B36" s="67" t="s">
        <v>832</v>
      </c>
      <c r="C36" s="427" t="s">
        <v>831</v>
      </c>
      <c r="D36" s="427" t="s">
        <v>126</v>
      </c>
      <c r="E36" s="65">
        <f t="shared" si="6"/>
        <v>5</v>
      </c>
      <c r="F36" s="67" t="s">
        <v>2070</v>
      </c>
      <c r="G36" s="427">
        <v>0</v>
      </c>
      <c r="H36" s="67">
        <v>5</v>
      </c>
      <c r="I36" s="67">
        <v>0</v>
      </c>
      <c r="J36" s="130">
        <v>0</v>
      </c>
      <c r="K36" s="443"/>
      <c r="L36" s="443"/>
      <c r="M36" s="443"/>
      <c r="N36" s="443"/>
      <c r="O36" s="443"/>
      <c r="P36" s="443"/>
      <c r="Q36" s="443"/>
      <c r="R36" s="443"/>
      <c r="S36" s="443"/>
      <c r="T36" s="443"/>
      <c r="U36" s="443"/>
      <c r="V36" s="443"/>
      <c r="W36" s="443"/>
      <c r="X36" s="189">
        <v>550000</v>
      </c>
      <c r="Y36" s="185">
        <f t="shared" si="7"/>
        <v>2750000</v>
      </c>
      <c r="Z36" s="186">
        <f t="shared" si="9"/>
        <v>0</v>
      </c>
      <c r="AA36" s="188">
        <f t="shared" si="10"/>
        <v>2750000</v>
      </c>
      <c r="AB36" s="190">
        <f t="shared" si="11"/>
        <v>0</v>
      </c>
      <c r="AC36" s="216">
        <f t="shared" si="8"/>
        <v>0</v>
      </c>
      <c r="AD36" s="893" t="s">
        <v>4236</v>
      </c>
      <c r="AE36" s="443"/>
      <c r="AF36" s="443"/>
      <c r="AG36" s="443"/>
      <c r="AH36" s="443"/>
    </row>
    <row r="37" spans="1:34" ht="31.5">
      <c r="A37" s="453">
        <v>13</v>
      </c>
      <c r="B37" s="67" t="s">
        <v>833</v>
      </c>
      <c r="C37" s="427" t="s">
        <v>834</v>
      </c>
      <c r="D37" s="427" t="s">
        <v>835</v>
      </c>
      <c r="E37" s="65">
        <f t="shared" si="6"/>
        <v>5</v>
      </c>
      <c r="F37" s="67" t="s">
        <v>837</v>
      </c>
      <c r="G37" s="427">
        <v>0</v>
      </c>
      <c r="H37" s="67">
        <v>5</v>
      </c>
      <c r="I37" s="67">
        <v>0</v>
      </c>
      <c r="J37" s="130">
        <v>0</v>
      </c>
      <c r="K37" s="443"/>
      <c r="L37" s="443"/>
      <c r="M37" s="443"/>
      <c r="N37" s="443"/>
      <c r="O37" s="443"/>
      <c r="P37" s="443"/>
      <c r="Q37" s="443"/>
      <c r="R37" s="443"/>
      <c r="S37" s="443"/>
      <c r="T37" s="443"/>
      <c r="U37" s="443"/>
      <c r="V37" s="443"/>
      <c r="W37" s="443"/>
      <c r="X37" s="189">
        <v>550000</v>
      </c>
      <c r="Y37" s="185">
        <f t="shared" si="7"/>
        <v>2750000</v>
      </c>
      <c r="Z37" s="186">
        <f t="shared" si="9"/>
        <v>0</v>
      </c>
      <c r="AA37" s="188">
        <f t="shared" si="10"/>
        <v>2750000</v>
      </c>
      <c r="AB37" s="190">
        <f t="shared" si="11"/>
        <v>0</v>
      </c>
      <c r="AC37" s="216">
        <f t="shared" si="8"/>
        <v>0</v>
      </c>
      <c r="AD37" s="893" t="s">
        <v>4236</v>
      </c>
      <c r="AE37" s="443"/>
      <c r="AF37" s="443"/>
      <c r="AG37" s="443"/>
      <c r="AH37" s="443"/>
    </row>
    <row r="38" spans="1:34">
      <c r="A38" s="383"/>
      <c r="B38" s="383"/>
      <c r="C38" s="383"/>
      <c r="D38" s="383"/>
      <c r="E38" s="383"/>
      <c r="F38" s="383"/>
      <c r="G38" s="383"/>
      <c r="H38" s="383"/>
      <c r="I38" s="383"/>
      <c r="J38" s="447"/>
      <c r="K38" s="443"/>
      <c r="L38" s="443"/>
      <c r="M38" s="443"/>
      <c r="N38" s="443"/>
      <c r="O38" s="443"/>
      <c r="P38" s="443"/>
      <c r="Q38" s="443"/>
      <c r="R38" s="443"/>
      <c r="S38" s="443"/>
      <c r="T38" s="443"/>
      <c r="U38" s="443"/>
      <c r="V38" s="443"/>
      <c r="W38" s="443"/>
      <c r="X38" s="383"/>
      <c r="Y38" s="441">
        <f>SUM(Y25:Y37)</f>
        <v>185650000</v>
      </c>
      <c r="Z38" s="441">
        <f>SUM(Z25:Z37)</f>
        <v>38500000</v>
      </c>
      <c r="AA38" s="441">
        <f>SUM(AA25:AA37)</f>
        <v>143550000</v>
      </c>
      <c r="AB38" s="441">
        <f>SUM(AB25:AB37)</f>
        <v>3600000</v>
      </c>
      <c r="AC38" s="441">
        <f>SUM(AC25:AC37)</f>
        <v>0</v>
      </c>
      <c r="AD38" s="892"/>
      <c r="AE38" s="443"/>
      <c r="AF38" s="443"/>
      <c r="AG38" s="443"/>
      <c r="AH38" s="443"/>
    </row>
    <row r="39" spans="1:34">
      <c r="A39" s="1233" t="s">
        <v>3050</v>
      </c>
      <c r="B39" s="1234"/>
      <c r="C39" s="1234"/>
      <c r="D39" s="1234"/>
      <c r="E39" s="1234"/>
      <c r="F39" s="1234"/>
      <c r="G39" s="1234"/>
      <c r="H39" s="1234"/>
      <c r="I39" s="1234"/>
      <c r="J39" s="1234"/>
      <c r="K39" s="1234"/>
      <c r="L39" s="1234"/>
      <c r="M39" s="1234"/>
      <c r="N39" s="1234"/>
      <c r="O39" s="1234"/>
      <c r="P39" s="1234"/>
      <c r="Q39" s="1234"/>
      <c r="R39" s="1234"/>
      <c r="S39" s="1234"/>
      <c r="T39" s="1234"/>
      <c r="U39" s="1234"/>
      <c r="V39" s="1234"/>
      <c r="W39" s="1234"/>
      <c r="X39" s="1234"/>
      <c r="Y39" s="1234"/>
      <c r="Z39" s="1234"/>
      <c r="AA39" s="1234"/>
      <c r="AB39" s="1234"/>
      <c r="AC39" s="1234"/>
      <c r="AD39" s="892"/>
      <c r="AE39" s="443"/>
      <c r="AF39" s="443"/>
      <c r="AG39" s="443"/>
      <c r="AH39" s="443"/>
    </row>
    <row r="40" spans="1:34" ht="63">
      <c r="A40" s="65">
        <v>1</v>
      </c>
      <c r="B40" s="67" t="s">
        <v>690</v>
      </c>
      <c r="C40" s="67" t="s">
        <v>691</v>
      </c>
      <c r="D40" s="50">
        <f t="shared" ref="D40:D62" si="12">G40+H40+I40+J40</f>
        <v>3</v>
      </c>
      <c r="E40" s="427" t="s">
        <v>286</v>
      </c>
      <c r="F40" s="65"/>
      <c r="G40" s="8">
        <v>3</v>
      </c>
      <c r="H40" s="427"/>
      <c r="I40" s="427"/>
      <c r="J40" s="427"/>
      <c r="K40" s="443"/>
      <c r="L40" s="443"/>
      <c r="M40" s="443"/>
      <c r="N40" s="443"/>
      <c r="O40" s="443"/>
      <c r="P40" s="443"/>
      <c r="Q40" s="443"/>
      <c r="R40" s="443"/>
      <c r="S40" s="443"/>
      <c r="T40" s="443"/>
      <c r="U40" s="443"/>
      <c r="V40" s="443"/>
      <c r="W40" s="443"/>
      <c r="X40" s="233">
        <v>935000</v>
      </c>
      <c r="Y40" s="234">
        <f t="shared" ref="Y40:Y70" si="13">X40*D40</f>
        <v>2805000</v>
      </c>
      <c r="Z40" s="234">
        <f t="shared" ref="Z40:Z70" si="14">X40*G40</f>
        <v>2805000</v>
      </c>
      <c r="AA40" s="234">
        <f t="shared" ref="AA40:AA70" si="15">X40*H40</f>
        <v>0</v>
      </c>
      <c r="AB40" s="234">
        <f t="shared" ref="AB40:AB70" si="16">X40*I40</f>
        <v>0</v>
      </c>
      <c r="AC40" s="234">
        <f t="shared" ref="AC40:AC70" si="17">X40*J40</f>
        <v>0</v>
      </c>
      <c r="AD40" s="893" t="s">
        <v>4236</v>
      </c>
      <c r="AE40" s="443"/>
      <c r="AF40" s="443"/>
      <c r="AG40" s="443"/>
      <c r="AH40" s="443"/>
    </row>
    <row r="41" spans="1:34" ht="31.5">
      <c r="A41" s="452">
        <v>2</v>
      </c>
      <c r="B41" s="64" t="s">
        <v>624</v>
      </c>
      <c r="C41" s="427" t="s">
        <v>625</v>
      </c>
      <c r="D41" s="50">
        <f t="shared" si="12"/>
        <v>5</v>
      </c>
      <c r="E41" s="427" t="s">
        <v>286</v>
      </c>
      <c r="F41" s="65"/>
      <c r="G41" s="65">
        <v>2</v>
      </c>
      <c r="H41" s="65">
        <v>3</v>
      </c>
      <c r="I41" s="65"/>
      <c r="J41" s="65"/>
      <c r="K41" s="443"/>
      <c r="L41" s="443"/>
      <c r="M41" s="443"/>
      <c r="N41" s="443"/>
      <c r="O41" s="443"/>
      <c r="P41" s="443"/>
      <c r="Q41" s="443"/>
      <c r="R41" s="443"/>
      <c r="S41" s="443"/>
      <c r="T41" s="443"/>
      <c r="U41" s="443"/>
      <c r="V41" s="443"/>
      <c r="W41" s="443"/>
      <c r="X41" s="233">
        <v>5720000</v>
      </c>
      <c r="Y41" s="234">
        <f t="shared" si="13"/>
        <v>28600000</v>
      </c>
      <c r="Z41" s="234">
        <f t="shared" si="14"/>
        <v>11440000</v>
      </c>
      <c r="AA41" s="234">
        <f t="shared" si="15"/>
        <v>17160000</v>
      </c>
      <c r="AB41" s="234">
        <f t="shared" si="16"/>
        <v>0</v>
      </c>
      <c r="AC41" s="234">
        <f t="shared" si="17"/>
        <v>0</v>
      </c>
      <c r="AD41" s="893" t="s">
        <v>4236</v>
      </c>
      <c r="AE41" s="443"/>
      <c r="AF41" s="443"/>
      <c r="AG41" s="443"/>
      <c r="AH41" s="443"/>
    </row>
    <row r="42" spans="1:34" ht="31.5">
      <c r="A42" s="452">
        <v>3</v>
      </c>
      <c r="B42" s="427" t="s">
        <v>2211</v>
      </c>
      <c r="C42" s="427" t="s">
        <v>626</v>
      </c>
      <c r="D42" s="50">
        <f t="shared" si="12"/>
        <v>5</v>
      </c>
      <c r="E42" s="427" t="s">
        <v>286</v>
      </c>
      <c r="F42" s="65"/>
      <c r="G42" s="65">
        <v>2</v>
      </c>
      <c r="H42" s="65"/>
      <c r="I42" s="65">
        <v>3</v>
      </c>
      <c r="J42" s="65"/>
      <c r="K42" s="443"/>
      <c r="L42" s="443"/>
      <c r="M42" s="443"/>
      <c r="N42" s="443"/>
      <c r="O42" s="443"/>
      <c r="P42" s="443"/>
      <c r="Q42" s="443"/>
      <c r="R42" s="443"/>
      <c r="S42" s="443"/>
      <c r="T42" s="443"/>
      <c r="U42" s="443"/>
      <c r="V42" s="443"/>
      <c r="W42" s="443"/>
      <c r="X42" s="233">
        <v>825000</v>
      </c>
      <c r="Y42" s="234">
        <f t="shared" si="13"/>
        <v>4125000</v>
      </c>
      <c r="Z42" s="234">
        <f t="shared" si="14"/>
        <v>1650000</v>
      </c>
      <c r="AA42" s="234">
        <f t="shared" si="15"/>
        <v>0</v>
      </c>
      <c r="AB42" s="234">
        <f t="shared" si="16"/>
        <v>2475000</v>
      </c>
      <c r="AC42" s="234">
        <f t="shared" si="17"/>
        <v>0</v>
      </c>
      <c r="AD42" s="893" t="s">
        <v>4236</v>
      </c>
      <c r="AE42" s="443"/>
      <c r="AF42" s="443"/>
      <c r="AG42" s="443"/>
      <c r="AH42" s="443"/>
    </row>
    <row r="43" spans="1:34" ht="31.5">
      <c r="A43" s="452">
        <v>4</v>
      </c>
      <c r="B43" s="103" t="s">
        <v>2212</v>
      </c>
      <c r="C43" s="67"/>
      <c r="D43" s="50">
        <f t="shared" si="12"/>
        <v>5</v>
      </c>
      <c r="E43" s="427" t="s">
        <v>286</v>
      </c>
      <c r="F43" s="67" t="s">
        <v>2213</v>
      </c>
      <c r="G43" s="8">
        <v>5</v>
      </c>
      <c r="H43" s="427"/>
      <c r="I43" s="427"/>
      <c r="J43" s="427"/>
      <c r="K43" s="443"/>
      <c r="L43" s="443"/>
      <c r="M43" s="443"/>
      <c r="N43" s="443"/>
      <c r="O43" s="443"/>
      <c r="P43" s="443"/>
      <c r="Q43" s="443"/>
      <c r="R43" s="443"/>
      <c r="S43" s="443"/>
      <c r="T43" s="443"/>
      <c r="U43" s="443"/>
      <c r="V43" s="443"/>
      <c r="W43" s="443"/>
      <c r="X43" s="233">
        <v>2970000</v>
      </c>
      <c r="Y43" s="234">
        <f t="shared" si="13"/>
        <v>14850000</v>
      </c>
      <c r="Z43" s="234">
        <f t="shared" si="14"/>
        <v>14850000</v>
      </c>
      <c r="AA43" s="234">
        <f t="shared" si="15"/>
        <v>0</v>
      </c>
      <c r="AB43" s="234">
        <f t="shared" si="16"/>
        <v>0</v>
      </c>
      <c r="AC43" s="234">
        <f t="shared" si="17"/>
        <v>0</v>
      </c>
      <c r="AD43" s="893" t="s">
        <v>4236</v>
      </c>
      <c r="AE43" s="443"/>
      <c r="AF43" s="443"/>
      <c r="AG43" s="443"/>
      <c r="AH43" s="443"/>
    </row>
    <row r="44" spans="1:34" ht="47.25">
      <c r="A44" s="452">
        <v>5</v>
      </c>
      <c r="B44" s="426" t="s">
        <v>2214</v>
      </c>
      <c r="C44" s="109" t="s">
        <v>2215</v>
      </c>
      <c r="D44" s="50">
        <f t="shared" si="12"/>
        <v>10</v>
      </c>
      <c r="E44" s="427" t="s">
        <v>286</v>
      </c>
      <c r="F44" s="65" t="s">
        <v>2216</v>
      </c>
      <c r="G44" s="8">
        <v>10</v>
      </c>
      <c r="H44" s="427"/>
      <c r="I44" s="427"/>
      <c r="J44" s="427"/>
      <c r="K44" s="443"/>
      <c r="L44" s="443"/>
      <c r="M44" s="443"/>
      <c r="N44" s="443"/>
      <c r="O44" s="443"/>
      <c r="P44" s="443"/>
      <c r="Q44" s="443"/>
      <c r="R44" s="443"/>
      <c r="S44" s="443"/>
      <c r="T44" s="443"/>
      <c r="U44" s="443"/>
      <c r="V44" s="443"/>
      <c r="W44" s="443"/>
      <c r="X44" s="234">
        <v>21300000</v>
      </c>
      <c r="Y44" s="234">
        <f t="shared" si="13"/>
        <v>213000000</v>
      </c>
      <c r="Z44" s="234">
        <f t="shared" si="14"/>
        <v>213000000</v>
      </c>
      <c r="AA44" s="234">
        <f t="shared" si="15"/>
        <v>0</v>
      </c>
      <c r="AB44" s="234">
        <f t="shared" si="16"/>
        <v>0</v>
      </c>
      <c r="AC44" s="234">
        <f t="shared" si="17"/>
        <v>0</v>
      </c>
      <c r="AD44" s="893" t="s">
        <v>4236</v>
      </c>
      <c r="AE44" s="443"/>
      <c r="AF44" s="443"/>
      <c r="AG44" s="443"/>
      <c r="AH44" s="443"/>
    </row>
    <row r="45" spans="1:34" ht="31.5">
      <c r="A45" s="452">
        <v>6</v>
      </c>
      <c r="B45" s="110" t="s">
        <v>671</v>
      </c>
      <c r="C45" s="426" t="s">
        <v>678</v>
      </c>
      <c r="D45" s="50">
        <f t="shared" si="12"/>
        <v>10</v>
      </c>
      <c r="E45" s="427" t="s">
        <v>286</v>
      </c>
      <c r="F45" s="65"/>
      <c r="G45" s="8">
        <v>5</v>
      </c>
      <c r="H45" s="427"/>
      <c r="I45" s="427">
        <v>5</v>
      </c>
      <c r="J45" s="427"/>
      <c r="K45" s="443"/>
      <c r="L45" s="443"/>
      <c r="M45" s="443"/>
      <c r="N45" s="443"/>
      <c r="O45" s="443"/>
      <c r="P45" s="443"/>
      <c r="Q45" s="443"/>
      <c r="R45" s="443"/>
      <c r="S45" s="443"/>
      <c r="T45" s="443"/>
      <c r="U45" s="443"/>
      <c r="V45" s="443"/>
      <c r="W45" s="443"/>
      <c r="X45" s="234">
        <v>6000000</v>
      </c>
      <c r="Y45" s="234">
        <f t="shared" si="13"/>
        <v>60000000</v>
      </c>
      <c r="Z45" s="234">
        <f t="shared" si="14"/>
        <v>30000000</v>
      </c>
      <c r="AA45" s="234">
        <f t="shared" si="15"/>
        <v>0</v>
      </c>
      <c r="AB45" s="234">
        <f t="shared" si="16"/>
        <v>30000000</v>
      </c>
      <c r="AC45" s="234">
        <f t="shared" si="17"/>
        <v>0</v>
      </c>
      <c r="AD45" s="893" t="s">
        <v>4236</v>
      </c>
      <c r="AE45" s="443"/>
      <c r="AF45" s="443"/>
      <c r="AG45" s="443"/>
      <c r="AH45" s="443"/>
    </row>
    <row r="46" spans="1:34" ht="94.5">
      <c r="A46" s="452">
        <v>7</v>
      </c>
      <c r="B46" s="79" t="s">
        <v>679</v>
      </c>
      <c r="C46" s="426" t="s">
        <v>2217</v>
      </c>
      <c r="D46" s="50">
        <f t="shared" si="12"/>
        <v>20</v>
      </c>
      <c r="E46" s="427" t="s">
        <v>286</v>
      </c>
      <c r="F46" s="65" t="s">
        <v>2216</v>
      </c>
      <c r="G46" s="8">
        <v>10</v>
      </c>
      <c r="H46" s="427">
        <v>10</v>
      </c>
      <c r="I46" s="427"/>
      <c r="J46" s="427"/>
      <c r="K46" s="443"/>
      <c r="L46" s="443"/>
      <c r="M46" s="443"/>
      <c r="N46" s="443"/>
      <c r="O46" s="443"/>
      <c r="P46" s="443"/>
      <c r="Q46" s="443"/>
      <c r="R46" s="443"/>
      <c r="S46" s="443"/>
      <c r="T46" s="443"/>
      <c r="U46" s="443"/>
      <c r="V46" s="443"/>
      <c r="W46" s="443"/>
      <c r="X46" s="234">
        <v>17500000</v>
      </c>
      <c r="Y46" s="234">
        <f t="shared" si="13"/>
        <v>350000000</v>
      </c>
      <c r="Z46" s="234">
        <f t="shared" si="14"/>
        <v>175000000</v>
      </c>
      <c r="AA46" s="234">
        <f t="shared" si="15"/>
        <v>175000000</v>
      </c>
      <c r="AB46" s="234">
        <f t="shared" si="16"/>
        <v>0</v>
      </c>
      <c r="AC46" s="234">
        <f t="shared" si="17"/>
        <v>0</v>
      </c>
      <c r="AD46" s="887" t="s">
        <v>4227</v>
      </c>
      <c r="AE46" s="443"/>
      <c r="AF46" s="443"/>
      <c r="AG46" s="443"/>
      <c r="AH46" s="443"/>
    </row>
    <row r="47" spans="1:34" ht="330.75">
      <c r="A47" s="452">
        <v>8</v>
      </c>
      <c r="B47" s="426" t="s">
        <v>2218</v>
      </c>
      <c r="C47" s="67" t="s">
        <v>2219</v>
      </c>
      <c r="D47" s="50">
        <f t="shared" si="12"/>
        <v>20</v>
      </c>
      <c r="E47" s="427" t="s">
        <v>286</v>
      </c>
      <c r="F47" s="65" t="s">
        <v>2216</v>
      </c>
      <c r="G47" s="8">
        <v>10</v>
      </c>
      <c r="H47" s="427">
        <v>10</v>
      </c>
      <c r="I47" s="427"/>
      <c r="J47" s="427"/>
      <c r="K47" s="443"/>
      <c r="L47" s="443"/>
      <c r="M47" s="443"/>
      <c r="N47" s="443"/>
      <c r="O47" s="443"/>
      <c r="P47" s="443"/>
      <c r="Q47" s="443"/>
      <c r="R47" s="443"/>
      <c r="S47" s="443"/>
      <c r="T47" s="443"/>
      <c r="U47" s="443"/>
      <c r="V47" s="443"/>
      <c r="W47" s="443"/>
      <c r="X47" s="234">
        <v>18500000</v>
      </c>
      <c r="Y47" s="234">
        <f t="shared" si="13"/>
        <v>370000000</v>
      </c>
      <c r="Z47" s="234">
        <f t="shared" si="14"/>
        <v>185000000</v>
      </c>
      <c r="AA47" s="234">
        <f t="shared" si="15"/>
        <v>185000000</v>
      </c>
      <c r="AB47" s="234">
        <f t="shared" si="16"/>
        <v>0</v>
      </c>
      <c r="AC47" s="234">
        <f t="shared" si="17"/>
        <v>0</v>
      </c>
      <c r="AD47" s="893" t="s">
        <v>4236</v>
      </c>
      <c r="AE47" s="443"/>
      <c r="AF47" s="443"/>
      <c r="AG47" s="443"/>
      <c r="AH47" s="443"/>
    </row>
    <row r="48" spans="1:34" ht="31.5">
      <c r="A48" s="452">
        <v>9</v>
      </c>
      <c r="B48" s="426" t="s">
        <v>680</v>
      </c>
      <c r="C48" s="426" t="s">
        <v>681</v>
      </c>
      <c r="D48" s="50">
        <f t="shared" si="12"/>
        <v>10</v>
      </c>
      <c r="E48" s="427" t="s">
        <v>286</v>
      </c>
      <c r="F48" s="65"/>
      <c r="G48" s="8">
        <v>10</v>
      </c>
      <c r="H48" s="427"/>
      <c r="I48" s="427"/>
      <c r="J48" s="427"/>
      <c r="K48" s="443"/>
      <c r="L48" s="443"/>
      <c r="M48" s="443"/>
      <c r="N48" s="443"/>
      <c r="O48" s="443"/>
      <c r="P48" s="443"/>
      <c r="Q48" s="443"/>
      <c r="R48" s="443"/>
      <c r="S48" s="443"/>
      <c r="T48" s="443"/>
      <c r="U48" s="443"/>
      <c r="V48" s="443"/>
      <c r="W48" s="443"/>
      <c r="X48" s="234">
        <v>8738000</v>
      </c>
      <c r="Y48" s="234">
        <f t="shared" si="13"/>
        <v>87380000</v>
      </c>
      <c r="Z48" s="234">
        <f t="shared" si="14"/>
        <v>87380000</v>
      </c>
      <c r="AA48" s="234">
        <f t="shared" si="15"/>
        <v>0</v>
      </c>
      <c r="AB48" s="234">
        <f t="shared" si="16"/>
        <v>0</v>
      </c>
      <c r="AC48" s="234">
        <f t="shared" si="17"/>
        <v>0</v>
      </c>
      <c r="AD48" s="893" t="s">
        <v>4236</v>
      </c>
      <c r="AE48" s="443"/>
      <c r="AF48" s="443"/>
      <c r="AG48" s="443"/>
      <c r="AH48" s="443"/>
    </row>
    <row r="49" spans="1:34" ht="31.5">
      <c r="A49" s="452">
        <v>10</v>
      </c>
      <c r="B49" s="426" t="s">
        <v>682</v>
      </c>
      <c r="C49" s="110" t="s">
        <v>2220</v>
      </c>
      <c r="D49" s="50">
        <f t="shared" si="12"/>
        <v>10</v>
      </c>
      <c r="E49" s="427" t="s">
        <v>286</v>
      </c>
      <c r="F49" s="65"/>
      <c r="G49" s="8">
        <v>10</v>
      </c>
      <c r="H49" s="427"/>
      <c r="I49" s="427"/>
      <c r="J49" s="427"/>
      <c r="K49" s="443"/>
      <c r="L49" s="443"/>
      <c r="M49" s="443"/>
      <c r="N49" s="443"/>
      <c r="O49" s="443"/>
      <c r="P49" s="443"/>
      <c r="Q49" s="443"/>
      <c r="R49" s="443"/>
      <c r="S49" s="443"/>
      <c r="T49" s="443"/>
      <c r="U49" s="443"/>
      <c r="V49" s="443"/>
      <c r="W49" s="443"/>
      <c r="X49" s="234">
        <v>7000000</v>
      </c>
      <c r="Y49" s="234">
        <f t="shared" si="13"/>
        <v>70000000</v>
      </c>
      <c r="Z49" s="234">
        <f t="shared" si="14"/>
        <v>70000000</v>
      </c>
      <c r="AA49" s="234">
        <f t="shared" si="15"/>
        <v>0</v>
      </c>
      <c r="AB49" s="234">
        <f t="shared" si="16"/>
        <v>0</v>
      </c>
      <c r="AC49" s="234">
        <f t="shared" si="17"/>
        <v>0</v>
      </c>
      <c r="AD49" s="893" t="s">
        <v>4236</v>
      </c>
      <c r="AE49" s="443"/>
      <c r="AF49" s="443"/>
      <c r="AG49" s="443"/>
      <c r="AH49" s="443"/>
    </row>
    <row r="50" spans="1:34" ht="31.5">
      <c r="A50" s="452">
        <v>11</v>
      </c>
      <c r="B50" s="426" t="s">
        <v>2221</v>
      </c>
      <c r="C50" s="426" t="s">
        <v>2222</v>
      </c>
      <c r="D50" s="50">
        <f t="shared" si="12"/>
        <v>10</v>
      </c>
      <c r="E50" s="427" t="s">
        <v>390</v>
      </c>
      <c r="F50" s="65"/>
      <c r="G50" s="8">
        <v>10</v>
      </c>
      <c r="H50" s="427"/>
      <c r="I50" s="427"/>
      <c r="J50" s="427"/>
      <c r="K50" s="443"/>
      <c r="L50" s="443"/>
      <c r="M50" s="443"/>
      <c r="N50" s="443"/>
      <c r="O50" s="443"/>
      <c r="P50" s="443"/>
      <c r="Q50" s="443"/>
      <c r="R50" s="443"/>
      <c r="S50" s="443"/>
      <c r="T50" s="443"/>
      <c r="U50" s="443"/>
      <c r="V50" s="443"/>
      <c r="W50" s="443"/>
      <c r="X50" s="234">
        <v>250000</v>
      </c>
      <c r="Y50" s="234">
        <f t="shared" si="13"/>
        <v>2500000</v>
      </c>
      <c r="Z50" s="234">
        <f t="shared" si="14"/>
        <v>2500000</v>
      </c>
      <c r="AA50" s="234">
        <f t="shared" si="15"/>
        <v>0</v>
      </c>
      <c r="AB50" s="234">
        <f t="shared" si="16"/>
        <v>0</v>
      </c>
      <c r="AC50" s="234">
        <f t="shared" si="17"/>
        <v>0</v>
      </c>
      <c r="AD50" s="893" t="s">
        <v>4236</v>
      </c>
      <c r="AE50" s="443"/>
      <c r="AF50" s="443"/>
      <c r="AG50" s="443"/>
      <c r="AH50" s="443"/>
    </row>
    <row r="51" spans="1:34" ht="31.5">
      <c r="A51" s="452">
        <v>12</v>
      </c>
      <c r="B51" s="426"/>
      <c r="C51" s="426" t="s">
        <v>2223</v>
      </c>
      <c r="D51" s="50">
        <f t="shared" si="12"/>
        <v>10</v>
      </c>
      <c r="E51" s="427" t="s">
        <v>390</v>
      </c>
      <c r="F51" s="65"/>
      <c r="G51" s="8">
        <v>10</v>
      </c>
      <c r="H51" s="427"/>
      <c r="I51" s="427"/>
      <c r="J51" s="427"/>
      <c r="K51" s="443"/>
      <c r="L51" s="443"/>
      <c r="M51" s="443"/>
      <c r="N51" s="443"/>
      <c r="O51" s="443"/>
      <c r="P51" s="443"/>
      <c r="Q51" s="443"/>
      <c r="R51" s="443"/>
      <c r="S51" s="443"/>
      <c r="T51" s="443"/>
      <c r="U51" s="443"/>
      <c r="V51" s="443"/>
      <c r="W51" s="443"/>
      <c r="X51" s="234">
        <v>250000</v>
      </c>
      <c r="Y51" s="234">
        <f t="shared" si="13"/>
        <v>2500000</v>
      </c>
      <c r="Z51" s="234">
        <f t="shared" si="14"/>
        <v>2500000</v>
      </c>
      <c r="AA51" s="234">
        <f t="shared" si="15"/>
        <v>0</v>
      </c>
      <c r="AB51" s="234">
        <f t="shared" si="16"/>
        <v>0</v>
      </c>
      <c r="AC51" s="234">
        <f t="shared" si="17"/>
        <v>0</v>
      </c>
      <c r="AD51" s="893" t="s">
        <v>4236</v>
      </c>
      <c r="AE51" s="443"/>
      <c r="AF51" s="443"/>
      <c r="AG51" s="443"/>
      <c r="AH51" s="443"/>
    </row>
    <row r="52" spans="1:34" ht="31.5">
      <c r="A52" s="452">
        <v>13</v>
      </c>
      <c r="B52" s="426"/>
      <c r="C52" s="426" t="s">
        <v>2224</v>
      </c>
      <c r="D52" s="50">
        <f t="shared" si="12"/>
        <v>10</v>
      </c>
      <c r="E52" s="427" t="s">
        <v>390</v>
      </c>
      <c r="F52" s="65"/>
      <c r="G52" s="8">
        <v>10</v>
      </c>
      <c r="H52" s="427"/>
      <c r="I52" s="427"/>
      <c r="J52" s="427"/>
      <c r="K52" s="443"/>
      <c r="L52" s="443"/>
      <c r="M52" s="443"/>
      <c r="N52" s="443"/>
      <c r="O52" s="443"/>
      <c r="P52" s="443"/>
      <c r="Q52" s="443"/>
      <c r="R52" s="443"/>
      <c r="S52" s="443"/>
      <c r="T52" s="443"/>
      <c r="U52" s="443"/>
      <c r="V52" s="443"/>
      <c r="W52" s="443"/>
      <c r="X52" s="234">
        <v>250000</v>
      </c>
      <c r="Y52" s="234">
        <f t="shared" si="13"/>
        <v>2500000</v>
      </c>
      <c r="Z52" s="234">
        <f t="shared" si="14"/>
        <v>2500000</v>
      </c>
      <c r="AA52" s="234">
        <f t="shared" si="15"/>
        <v>0</v>
      </c>
      <c r="AB52" s="234">
        <f t="shared" si="16"/>
        <v>0</v>
      </c>
      <c r="AC52" s="234">
        <f t="shared" si="17"/>
        <v>0</v>
      </c>
      <c r="AD52" s="893" t="s">
        <v>4236</v>
      </c>
      <c r="AE52" s="443"/>
      <c r="AF52" s="443"/>
      <c r="AG52" s="443"/>
      <c r="AH52" s="443"/>
    </row>
    <row r="53" spans="1:34" ht="31.5">
      <c r="A53" s="452">
        <v>14</v>
      </c>
      <c r="B53" s="426"/>
      <c r="C53" s="426" t="s">
        <v>2225</v>
      </c>
      <c r="D53" s="50">
        <f t="shared" si="12"/>
        <v>10</v>
      </c>
      <c r="E53" s="427" t="s">
        <v>390</v>
      </c>
      <c r="F53" s="65"/>
      <c r="G53" s="8">
        <v>10</v>
      </c>
      <c r="H53" s="427"/>
      <c r="I53" s="427"/>
      <c r="J53" s="427"/>
      <c r="K53" s="443"/>
      <c r="L53" s="443"/>
      <c r="M53" s="443"/>
      <c r="N53" s="443"/>
      <c r="O53" s="443"/>
      <c r="P53" s="443"/>
      <c r="Q53" s="443"/>
      <c r="R53" s="443"/>
      <c r="S53" s="443"/>
      <c r="T53" s="443"/>
      <c r="U53" s="443"/>
      <c r="V53" s="443"/>
      <c r="W53" s="443"/>
      <c r="X53" s="234">
        <v>250000</v>
      </c>
      <c r="Y53" s="234">
        <f t="shared" si="13"/>
        <v>2500000</v>
      </c>
      <c r="Z53" s="234">
        <f t="shared" si="14"/>
        <v>2500000</v>
      </c>
      <c r="AA53" s="234">
        <f t="shared" si="15"/>
        <v>0</v>
      </c>
      <c r="AB53" s="234">
        <f t="shared" si="16"/>
        <v>0</v>
      </c>
      <c r="AC53" s="234">
        <f t="shared" si="17"/>
        <v>0</v>
      </c>
      <c r="AD53" s="893" t="s">
        <v>4236</v>
      </c>
      <c r="AE53" s="443"/>
      <c r="AF53" s="443"/>
      <c r="AG53" s="443"/>
      <c r="AH53" s="443"/>
    </row>
    <row r="54" spans="1:34" ht="31.5">
      <c r="A54" s="452">
        <v>15</v>
      </c>
      <c r="B54" s="426"/>
      <c r="C54" s="426" t="s">
        <v>2226</v>
      </c>
      <c r="D54" s="50">
        <f t="shared" si="12"/>
        <v>10</v>
      </c>
      <c r="E54" s="427" t="s">
        <v>390</v>
      </c>
      <c r="F54" s="65"/>
      <c r="G54" s="8">
        <v>10</v>
      </c>
      <c r="H54" s="427"/>
      <c r="I54" s="427"/>
      <c r="J54" s="427"/>
      <c r="K54" s="443"/>
      <c r="L54" s="443"/>
      <c r="M54" s="443"/>
      <c r="N54" s="443"/>
      <c r="O54" s="443"/>
      <c r="P54" s="443"/>
      <c r="Q54" s="443"/>
      <c r="R54" s="443"/>
      <c r="S54" s="443"/>
      <c r="T54" s="443"/>
      <c r="U54" s="443"/>
      <c r="V54" s="443"/>
      <c r="W54" s="443"/>
      <c r="X54" s="234">
        <v>250000</v>
      </c>
      <c r="Y54" s="234">
        <f t="shared" si="13"/>
        <v>2500000</v>
      </c>
      <c r="Z54" s="234">
        <f t="shared" si="14"/>
        <v>2500000</v>
      </c>
      <c r="AA54" s="234">
        <f t="shared" si="15"/>
        <v>0</v>
      </c>
      <c r="AB54" s="234">
        <f t="shared" si="16"/>
        <v>0</v>
      </c>
      <c r="AC54" s="234">
        <f t="shared" si="17"/>
        <v>0</v>
      </c>
      <c r="AD54" s="893" t="s">
        <v>4236</v>
      </c>
      <c r="AE54" s="443"/>
      <c r="AF54" s="443"/>
      <c r="AG54" s="443"/>
      <c r="AH54" s="443"/>
    </row>
    <row r="55" spans="1:34" ht="31.5">
      <c r="A55" s="452">
        <v>16</v>
      </c>
      <c r="B55" s="65" t="s">
        <v>2227</v>
      </c>
      <c r="C55" s="110" t="s">
        <v>683</v>
      </c>
      <c r="D55" s="50">
        <f t="shared" si="12"/>
        <v>10</v>
      </c>
      <c r="E55" s="427" t="s">
        <v>286</v>
      </c>
      <c r="F55" s="65"/>
      <c r="G55" s="8"/>
      <c r="H55" s="427">
        <v>5</v>
      </c>
      <c r="I55" s="427">
        <v>5</v>
      </c>
      <c r="J55" s="427"/>
      <c r="K55" s="443"/>
      <c r="L55" s="443"/>
      <c r="M55" s="443"/>
      <c r="N55" s="443"/>
      <c r="O55" s="443"/>
      <c r="P55" s="443"/>
      <c r="Q55" s="443"/>
      <c r="R55" s="443"/>
      <c r="S55" s="443"/>
      <c r="T55" s="443"/>
      <c r="U55" s="443"/>
      <c r="V55" s="443"/>
      <c r="W55" s="443"/>
      <c r="X55" s="234">
        <v>1400000</v>
      </c>
      <c r="Y55" s="234">
        <f t="shared" si="13"/>
        <v>14000000</v>
      </c>
      <c r="Z55" s="234">
        <f t="shared" si="14"/>
        <v>0</v>
      </c>
      <c r="AA55" s="234">
        <f t="shared" si="15"/>
        <v>7000000</v>
      </c>
      <c r="AB55" s="234">
        <f t="shared" si="16"/>
        <v>7000000</v>
      </c>
      <c r="AC55" s="234">
        <f t="shared" si="17"/>
        <v>0</v>
      </c>
      <c r="AD55" s="893" t="s">
        <v>4236</v>
      </c>
      <c r="AE55" s="443"/>
      <c r="AF55" s="443"/>
      <c r="AG55" s="443"/>
      <c r="AH55" s="443"/>
    </row>
    <row r="56" spans="1:34" ht="31.5">
      <c r="A56" s="452">
        <v>17</v>
      </c>
      <c r="B56" s="110" t="s">
        <v>684</v>
      </c>
      <c r="C56" s="110" t="s">
        <v>685</v>
      </c>
      <c r="D56" s="50">
        <f t="shared" si="12"/>
        <v>40</v>
      </c>
      <c r="E56" s="427" t="s">
        <v>286</v>
      </c>
      <c r="F56" s="65"/>
      <c r="G56" s="8">
        <v>10</v>
      </c>
      <c r="H56" s="427">
        <v>10</v>
      </c>
      <c r="I56" s="427"/>
      <c r="J56" s="427">
        <v>20</v>
      </c>
      <c r="K56" s="443"/>
      <c r="L56" s="443"/>
      <c r="M56" s="443"/>
      <c r="N56" s="443"/>
      <c r="O56" s="443"/>
      <c r="P56" s="443"/>
      <c r="Q56" s="443"/>
      <c r="R56" s="443"/>
      <c r="S56" s="443"/>
      <c r="T56" s="443"/>
      <c r="U56" s="443"/>
      <c r="V56" s="443"/>
      <c r="W56" s="443"/>
      <c r="X56" s="234">
        <v>300000</v>
      </c>
      <c r="Y56" s="234">
        <f t="shared" si="13"/>
        <v>12000000</v>
      </c>
      <c r="Z56" s="234">
        <f t="shared" si="14"/>
        <v>3000000</v>
      </c>
      <c r="AA56" s="234">
        <f t="shared" si="15"/>
        <v>3000000</v>
      </c>
      <c r="AB56" s="234">
        <f t="shared" si="16"/>
        <v>0</v>
      </c>
      <c r="AC56" s="234">
        <f>X56*J56</f>
        <v>6000000</v>
      </c>
      <c r="AD56" s="893" t="s">
        <v>4236</v>
      </c>
      <c r="AE56" s="443"/>
      <c r="AF56" s="443"/>
      <c r="AG56" s="443"/>
      <c r="AH56" s="443"/>
    </row>
    <row r="57" spans="1:34" ht="31.5">
      <c r="A57" s="452">
        <v>18</v>
      </c>
      <c r="B57" s="78" t="s">
        <v>2228</v>
      </c>
      <c r="C57" s="64" t="s">
        <v>686</v>
      </c>
      <c r="D57" s="50">
        <f t="shared" si="12"/>
        <v>200</v>
      </c>
      <c r="E57" s="427" t="s">
        <v>286</v>
      </c>
      <c r="F57" s="65"/>
      <c r="G57" s="8">
        <v>100</v>
      </c>
      <c r="H57" s="427">
        <v>100</v>
      </c>
      <c r="I57" s="427"/>
      <c r="J57" s="427"/>
      <c r="K57" s="443"/>
      <c r="L57" s="443"/>
      <c r="M57" s="443"/>
      <c r="N57" s="443"/>
      <c r="O57" s="443"/>
      <c r="P57" s="443"/>
      <c r="Q57" s="443"/>
      <c r="R57" s="443"/>
      <c r="S57" s="443"/>
      <c r="T57" s="443"/>
      <c r="U57" s="443"/>
      <c r="V57" s="443"/>
      <c r="W57" s="443"/>
      <c r="X57" s="234">
        <v>47000</v>
      </c>
      <c r="Y57" s="234">
        <f t="shared" si="13"/>
        <v>9400000</v>
      </c>
      <c r="Z57" s="234">
        <f t="shared" si="14"/>
        <v>4700000</v>
      </c>
      <c r="AA57" s="234">
        <f t="shared" si="15"/>
        <v>4700000</v>
      </c>
      <c r="AB57" s="234">
        <f t="shared" si="16"/>
        <v>0</v>
      </c>
      <c r="AC57" s="234">
        <f t="shared" si="17"/>
        <v>0</v>
      </c>
      <c r="AD57" s="893" t="s">
        <v>4236</v>
      </c>
      <c r="AE57" s="443"/>
      <c r="AF57" s="443"/>
      <c r="AG57" s="443"/>
      <c r="AH57" s="443"/>
    </row>
    <row r="58" spans="1:34" ht="31.5">
      <c r="A58" s="452">
        <v>19</v>
      </c>
      <c r="B58" s="64" t="s">
        <v>616</v>
      </c>
      <c r="C58" s="427" t="s">
        <v>617</v>
      </c>
      <c r="D58" s="50">
        <f t="shared" si="12"/>
        <v>5</v>
      </c>
      <c r="E58" s="427" t="s">
        <v>286</v>
      </c>
      <c r="F58" s="65"/>
      <c r="G58" s="65"/>
      <c r="H58" s="65">
        <v>5</v>
      </c>
      <c r="I58" s="65"/>
      <c r="J58" s="65"/>
      <c r="K58" s="443"/>
      <c r="L58" s="443"/>
      <c r="M58" s="443"/>
      <c r="N58" s="443"/>
      <c r="O58" s="443"/>
      <c r="P58" s="443"/>
      <c r="Q58" s="443"/>
      <c r="R58" s="443"/>
      <c r="S58" s="443"/>
      <c r="T58" s="443"/>
      <c r="U58" s="443"/>
      <c r="V58" s="443"/>
      <c r="W58" s="443"/>
      <c r="X58" s="234">
        <v>280000</v>
      </c>
      <c r="Y58" s="234">
        <f t="shared" si="13"/>
        <v>1400000</v>
      </c>
      <c r="Z58" s="234">
        <f t="shared" si="14"/>
        <v>0</v>
      </c>
      <c r="AA58" s="234">
        <f t="shared" si="15"/>
        <v>1400000</v>
      </c>
      <c r="AB58" s="234">
        <f t="shared" si="16"/>
        <v>0</v>
      </c>
      <c r="AC58" s="234">
        <f t="shared" si="17"/>
        <v>0</v>
      </c>
      <c r="AD58" s="893" t="s">
        <v>4236</v>
      </c>
      <c r="AE58" s="443"/>
      <c r="AF58" s="443"/>
      <c r="AG58" s="443"/>
      <c r="AH58" s="443"/>
    </row>
    <row r="59" spans="1:34" ht="31.5">
      <c r="A59" s="452">
        <v>20</v>
      </c>
      <c r="B59" s="64" t="s">
        <v>616</v>
      </c>
      <c r="C59" s="427" t="s">
        <v>618</v>
      </c>
      <c r="D59" s="50">
        <f t="shared" si="12"/>
        <v>5</v>
      </c>
      <c r="E59" s="427" t="s">
        <v>286</v>
      </c>
      <c r="F59" s="65"/>
      <c r="G59" s="65"/>
      <c r="H59" s="65">
        <v>5</v>
      </c>
      <c r="I59" s="65"/>
      <c r="J59" s="65"/>
      <c r="K59" s="443"/>
      <c r="L59" s="443"/>
      <c r="M59" s="443"/>
      <c r="N59" s="443"/>
      <c r="O59" s="443"/>
      <c r="P59" s="443"/>
      <c r="Q59" s="443"/>
      <c r="R59" s="443"/>
      <c r="S59" s="443"/>
      <c r="T59" s="443"/>
      <c r="U59" s="443"/>
      <c r="V59" s="443"/>
      <c r="W59" s="443"/>
      <c r="X59" s="234">
        <v>280000</v>
      </c>
      <c r="Y59" s="234">
        <f t="shared" si="13"/>
        <v>1400000</v>
      </c>
      <c r="Z59" s="234">
        <f t="shared" si="14"/>
        <v>0</v>
      </c>
      <c r="AA59" s="234">
        <f t="shared" si="15"/>
        <v>1400000</v>
      </c>
      <c r="AB59" s="234">
        <f t="shared" si="16"/>
        <v>0</v>
      </c>
      <c r="AC59" s="234">
        <f t="shared" si="17"/>
        <v>0</v>
      </c>
      <c r="AD59" s="893" t="s">
        <v>4236</v>
      </c>
      <c r="AE59" s="443"/>
      <c r="AF59" s="443"/>
      <c r="AG59" s="443"/>
      <c r="AH59" s="443"/>
    </row>
    <row r="60" spans="1:34" ht="31.5">
      <c r="A60" s="452">
        <v>21</v>
      </c>
      <c r="B60" s="64" t="s">
        <v>616</v>
      </c>
      <c r="C60" s="427" t="s">
        <v>619</v>
      </c>
      <c r="D60" s="50">
        <f t="shared" si="12"/>
        <v>5</v>
      </c>
      <c r="E60" s="427" t="s">
        <v>286</v>
      </c>
      <c r="F60" s="65"/>
      <c r="G60" s="65"/>
      <c r="H60" s="65">
        <v>5</v>
      </c>
      <c r="I60" s="65"/>
      <c r="J60" s="65"/>
      <c r="K60" s="443"/>
      <c r="L60" s="443"/>
      <c r="M60" s="443"/>
      <c r="N60" s="443"/>
      <c r="O60" s="443"/>
      <c r="P60" s="443"/>
      <c r="Q60" s="443"/>
      <c r="R60" s="443"/>
      <c r="S60" s="443"/>
      <c r="T60" s="443"/>
      <c r="U60" s="443"/>
      <c r="V60" s="443"/>
      <c r="W60" s="443"/>
      <c r="X60" s="234">
        <v>280000</v>
      </c>
      <c r="Y60" s="234">
        <f t="shared" si="13"/>
        <v>1400000</v>
      </c>
      <c r="Z60" s="234">
        <f t="shared" si="14"/>
        <v>0</v>
      </c>
      <c r="AA60" s="234">
        <f t="shared" si="15"/>
        <v>1400000</v>
      </c>
      <c r="AB60" s="234">
        <f t="shared" si="16"/>
        <v>0</v>
      </c>
      <c r="AC60" s="234">
        <f t="shared" si="17"/>
        <v>0</v>
      </c>
      <c r="AD60" s="893" t="s">
        <v>4236</v>
      </c>
      <c r="AE60" s="443"/>
      <c r="AF60" s="443"/>
      <c r="AG60" s="443"/>
      <c r="AH60" s="443"/>
    </row>
    <row r="61" spans="1:34" ht="31.5">
      <c r="A61" s="452">
        <v>22</v>
      </c>
      <c r="B61" s="64" t="s">
        <v>620</v>
      </c>
      <c r="C61" s="427" t="s">
        <v>621</v>
      </c>
      <c r="D61" s="50">
        <f t="shared" si="12"/>
        <v>5</v>
      </c>
      <c r="E61" s="427" t="s">
        <v>286</v>
      </c>
      <c r="F61" s="65"/>
      <c r="G61" s="65"/>
      <c r="H61" s="65">
        <v>5</v>
      </c>
      <c r="I61" s="65"/>
      <c r="J61" s="65"/>
      <c r="K61" s="443"/>
      <c r="L61" s="443"/>
      <c r="M61" s="443"/>
      <c r="N61" s="443"/>
      <c r="O61" s="443"/>
      <c r="P61" s="443"/>
      <c r="Q61" s="443"/>
      <c r="R61" s="443"/>
      <c r="S61" s="443"/>
      <c r="T61" s="443"/>
      <c r="U61" s="443"/>
      <c r="V61" s="443"/>
      <c r="W61" s="443"/>
      <c r="X61" s="392">
        <v>300000</v>
      </c>
      <c r="Y61" s="234">
        <f t="shared" si="13"/>
        <v>1500000</v>
      </c>
      <c r="Z61" s="234">
        <f t="shared" si="14"/>
        <v>0</v>
      </c>
      <c r="AA61" s="234">
        <f t="shared" si="15"/>
        <v>1500000</v>
      </c>
      <c r="AB61" s="234">
        <f t="shared" si="16"/>
        <v>0</v>
      </c>
      <c r="AC61" s="234">
        <f t="shared" si="17"/>
        <v>0</v>
      </c>
      <c r="AD61" s="893" t="s">
        <v>4236</v>
      </c>
      <c r="AE61" s="443"/>
      <c r="AF61" s="443"/>
      <c r="AG61" s="443"/>
      <c r="AH61" s="443"/>
    </row>
    <row r="62" spans="1:34" ht="31.5">
      <c r="A62" s="452">
        <v>23</v>
      </c>
      <c r="B62" s="64" t="s">
        <v>620</v>
      </c>
      <c r="C62" s="427" t="s">
        <v>622</v>
      </c>
      <c r="D62" s="50">
        <f t="shared" si="12"/>
        <v>5</v>
      </c>
      <c r="E62" s="427" t="s">
        <v>286</v>
      </c>
      <c r="F62" s="65"/>
      <c r="G62" s="65"/>
      <c r="H62" s="65">
        <v>5</v>
      </c>
      <c r="I62" s="65"/>
      <c r="J62" s="65"/>
      <c r="K62" s="443"/>
      <c r="L62" s="443"/>
      <c r="M62" s="443"/>
      <c r="N62" s="443"/>
      <c r="O62" s="443"/>
      <c r="P62" s="443"/>
      <c r="Q62" s="443"/>
      <c r="R62" s="443"/>
      <c r="S62" s="443"/>
      <c r="T62" s="443"/>
      <c r="U62" s="443"/>
      <c r="V62" s="443"/>
      <c r="W62" s="443"/>
      <c r="X62" s="392">
        <v>350000</v>
      </c>
      <c r="Y62" s="234">
        <f t="shared" si="13"/>
        <v>1750000</v>
      </c>
      <c r="Z62" s="234">
        <f t="shared" si="14"/>
        <v>0</v>
      </c>
      <c r="AA62" s="234">
        <f t="shared" si="15"/>
        <v>1750000</v>
      </c>
      <c r="AB62" s="234">
        <f t="shared" si="16"/>
        <v>0</v>
      </c>
      <c r="AC62" s="234">
        <f t="shared" si="17"/>
        <v>0</v>
      </c>
      <c r="AD62" s="893" t="s">
        <v>4236</v>
      </c>
      <c r="AE62" s="443"/>
      <c r="AF62" s="443"/>
      <c r="AG62" s="443"/>
      <c r="AH62" s="443"/>
    </row>
    <row r="63" spans="1:34" ht="31.5">
      <c r="A63" s="452">
        <v>24</v>
      </c>
      <c r="B63" s="64" t="s">
        <v>616</v>
      </c>
      <c r="C63" s="427" t="s">
        <v>623</v>
      </c>
      <c r="D63" s="49">
        <v>5</v>
      </c>
      <c r="E63" s="427" t="s">
        <v>286</v>
      </c>
      <c r="F63" s="65"/>
      <c r="G63" s="65"/>
      <c r="H63" s="65">
        <v>5</v>
      </c>
      <c r="I63" s="65"/>
      <c r="J63" s="65"/>
      <c r="K63" s="443"/>
      <c r="L63" s="443"/>
      <c r="M63" s="443"/>
      <c r="N63" s="443"/>
      <c r="O63" s="443"/>
      <c r="P63" s="443"/>
      <c r="Q63" s="443"/>
      <c r="R63" s="443"/>
      <c r="S63" s="443"/>
      <c r="T63" s="443"/>
      <c r="U63" s="443"/>
      <c r="V63" s="443"/>
      <c r="W63" s="443"/>
      <c r="X63" s="392">
        <v>3600000</v>
      </c>
      <c r="Y63" s="234">
        <f t="shared" si="13"/>
        <v>18000000</v>
      </c>
      <c r="Z63" s="234">
        <f t="shared" si="14"/>
        <v>0</v>
      </c>
      <c r="AA63" s="234">
        <f t="shared" si="15"/>
        <v>18000000</v>
      </c>
      <c r="AB63" s="234">
        <f t="shared" si="16"/>
        <v>0</v>
      </c>
      <c r="AC63" s="234">
        <f t="shared" si="17"/>
        <v>0</v>
      </c>
      <c r="AD63" s="893" t="s">
        <v>4236</v>
      </c>
      <c r="AE63" s="443"/>
      <c r="AF63" s="443"/>
      <c r="AG63" s="443"/>
      <c r="AH63" s="443"/>
    </row>
    <row r="64" spans="1:34" ht="31.5">
      <c r="A64" s="452">
        <v>25</v>
      </c>
      <c r="B64" s="64" t="s">
        <v>2229</v>
      </c>
      <c r="C64" s="427" t="s">
        <v>2230</v>
      </c>
      <c r="D64" s="49">
        <v>4</v>
      </c>
      <c r="E64" s="427" t="s">
        <v>286</v>
      </c>
      <c r="F64" s="65" t="s">
        <v>2216</v>
      </c>
      <c r="G64" s="49">
        <v>4</v>
      </c>
      <c r="H64" s="65"/>
      <c r="I64" s="65"/>
      <c r="J64" s="65"/>
      <c r="K64" s="443"/>
      <c r="L64" s="443"/>
      <c r="M64" s="443"/>
      <c r="N64" s="443"/>
      <c r="O64" s="443"/>
      <c r="P64" s="443"/>
      <c r="Q64" s="443"/>
      <c r="R64" s="443"/>
      <c r="S64" s="443"/>
      <c r="T64" s="443"/>
      <c r="U64" s="443"/>
      <c r="V64" s="443"/>
      <c r="W64" s="443"/>
      <c r="X64" s="392">
        <v>22000000</v>
      </c>
      <c r="Y64" s="234">
        <f t="shared" si="13"/>
        <v>88000000</v>
      </c>
      <c r="Z64" s="234">
        <f t="shared" si="14"/>
        <v>88000000</v>
      </c>
      <c r="AA64" s="234">
        <f t="shared" si="15"/>
        <v>0</v>
      </c>
      <c r="AB64" s="234">
        <f t="shared" si="16"/>
        <v>0</v>
      </c>
      <c r="AC64" s="234">
        <f t="shared" si="17"/>
        <v>0</v>
      </c>
      <c r="AD64" s="893" t="s">
        <v>4236</v>
      </c>
      <c r="AE64" s="443"/>
      <c r="AF64" s="443"/>
      <c r="AG64" s="443"/>
      <c r="AH64" s="443"/>
    </row>
    <row r="65" spans="1:34" ht="31.5">
      <c r="A65" s="452">
        <v>26</v>
      </c>
      <c r="B65" s="64" t="s">
        <v>2231</v>
      </c>
      <c r="C65" s="427" t="s">
        <v>2232</v>
      </c>
      <c r="D65" s="49">
        <v>6</v>
      </c>
      <c r="E65" s="427" t="s">
        <v>286</v>
      </c>
      <c r="F65" s="65" t="s">
        <v>2216</v>
      </c>
      <c r="G65" s="49">
        <v>6</v>
      </c>
      <c r="H65" s="65"/>
      <c r="I65" s="65"/>
      <c r="J65" s="65"/>
      <c r="K65" s="443"/>
      <c r="L65" s="443"/>
      <c r="M65" s="443"/>
      <c r="N65" s="443"/>
      <c r="O65" s="443"/>
      <c r="P65" s="443"/>
      <c r="Q65" s="443"/>
      <c r="R65" s="443"/>
      <c r="S65" s="443"/>
      <c r="T65" s="443"/>
      <c r="U65" s="443"/>
      <c r="V65" s="443"/>
      <c r="W65" s="443"/>
      <c r="X65" s="234">
        <v>5000000</v>
      </c>
      <c r="Y65" s="234">
        <f t="shared" si="13"/>
        <v>30000000</v>
      </c>
      <c r="Z65" s="234">
        <f t="shared" si="14"/>
        <v>30000000</v>
      </c>
      <c r="AA65" s="234">
        <f t="shared" si="15"/>
        <v>0</v>
      </c>
      <c r="AB65" s="234">
        <f t="shared" si="16"/>
        <v>0</v>
      </c>
      <c r="AC65" s="234">
        <f t="shared" si="17"/>
        <v>0</v>
      </c>
      <c r="AD65" s="893" t="s">
        <v>4236</v>
      </c>
      <c r="AE65" s="443"/>
      <c r="AF65" s="443"/>
      <c r="AG65" s="443"/>
      <c r="AH65" s="443"/>
    </row>
    <row r="66" spans="1:34" ht="31.5">
      <c r="A66" s="452">
        <v>27</v>
      </c>
      <c r="B66" s="64" t="s">
        <v>2233</v>
      </c>
      <c r="C66" s="427" t="s">
        <v>2234</v>
      </c>
      <c r="D66" s="49">
        <v>4</v>
      </c>
      <c r="E66" s="427" t="s">
        <v>2235</v>
      </c>
      <c r="F66" s="65" t="s">
        <v>2216</v>
      </c>
      <c r="G66" s="49">
        <v>4</v>
      </c>
      <c r="H66" s="65"/>
      <c r="I66" s="65"/>
      <c r="J66" s="65"/>
      <c r="K66" s="443"/>
      <c r="L66" s="443"/>
      <c r="M66" s="443"/>
      <c r="N66" s="443"/>
      <c r="O66" s="443"/>
      <c r="P66" s="443"/>
      <c r="Q66" s="443"/>
      <c r="R66" s="443"/>
      <c r="S66" s="443"/>
      <c r="T66" s="443"/>
      <c r="U66" s="443"/>
      <c r="V66" s="443"/>
      <c r="W66" s="443"/>
      <c r="X66" s="234">
        <v>1500000</v>
      </c>
      <c r="Y66" s="234">
        <f t="shared" si="13"/>
        <v>6000000</v>
      </c>
      <c r="Z66" s="234">
        <f t="shared" si="14"/>
        <v>6000000</v>
      </c>
      <c r="AA66" s="234">
        <f t="shared" si="15"/>
        <v>0</v>
      </c>
      <c r="AB66" s="234">
        <f t="shared" si="16"/>
        <v>0</v>
      </c>
      <c r="AC66" s="234">
        <f t="shared" si="17"/>
        <v>0</v>
      </c>
      <c r="AD66" s="893" t="s">
        <v>4236</v>
      </c>
      <c r="AE66" s="443"/>
      <c r="AF66" s="443"/>
      <c r="AG66" s="443"/>
      <c r="AH66" s="443"/>
    </row>
    <row r="67" spans="1:34" ht="31.5">
      <c r="A67" s="452">
        <v>28</v>
      </c>
      <c r="B67" s="64" t="s">
        <v>2236</v>
      </c>
      <c r="C67" s="427" t="s">
        <v>2237</v>
      </c>
      <c r="D67" s="49">
        <v>1200</v>
      </c>
      <c r="E67" s="427" t="s">
        <v>432</v>
      </c>
      <c r="F67" s="65" t="s">
        <v>2216</v>
      </c>
      <c r="G67" s="49">
        <v>1200</v>
      </c>
      <c r="H67" s="65"/>
      <c r="I67" s="65"/>
      <c r="J67" s="65"/>
      <c r="K67" s="443"/>
      <c r="L67" s="443"/>
      <c r="M67" s="443"/>
      <c r="N67" s="443"/>
      <c r="O67" s="443"/>
      <c r="P67" s="443"/>
      <c r="Q67" s="443"/>
      <c r="R67" s="443"/>
      <c r="S67" s="443"/>
      <c r="T67" s="443"/>
      <c r="U67" s="443"/>
      <c r="V67" s="443"/>
      <c r="W67" s="443"/>
      <c r="X67" s="234">
        <v>7500</v>
      </c>
      <c r="Y67" s="234">
        <f t="shared" si="13"/>
        <v>9000000</v>
      </c>
      <c r="Z67" s="234">
        <f t="shared" si="14"/>
        <v>9000000</v>
      </c>
      <c r="AA67" s="234">
        <f t="shared" si="15"/>
        <v>0</v>
      </c>
      <c r="AB67" s="234">
        <f t="shared" si="16"/>
        <v>0</v>
      </c>
      <c r="AC67" s="234">
        <f t="shared" si="17"/>
        <v>0</v>
      </c>
      <c r="AD67" s="893" t="s">
        <v>4236</v>
      </c>
      <c r="AE67" s="443"/>
      <c r="AF67" s="443"/>
      <c r="AG67" s="443"/>
      <c r="AH67" s="443"/>
    </row>
    <row r="68" spans="1:34" ht="31.5">
      <c r="A68" s="452">
        <v>29</v>
      </c>
      <c r="B68" s="64" t="s">
        <v>2238</v>
      </c>
      <c r="C68" s="427" t="s">
        <v>2239</v>
      </c>
      <c r="D68" s="49">
        <v>36</v>
      </c>
      <c r="E68" s="427" t="s">
        <v>286</v>
      </c>
      <c r="F68" s="65" t="s">
        <v>2216</v>
      </c>
      <c r="G68" s="49">
        <v>36</v>
      </c>
      <c r="H68" s="65"/>
      <c r="I68" s="65"/>
      <c r="J68" s="65"/>
      <c r="K68" s="443"/>
      <c r="L68" s="443"/>
      <c r="M68" s="443"/>
      <c r="N68" s="443"/>
      <c r="O68" s="443"/>
      <c r="P68" s="443"/>
      <c r="Q68" s="443"/>
      <c r="R68" s="443"/>
      <c r="S68" s="443"/>
      <c r="T68" s="443"/>
      <c r="U68" s="443"/>
      <c r="V68" s="443"/>
      <c r="W68" s="443"/>
      <c r="X68" s="234">
        <v>60000</v>
      </c>
      <c r="Y68" s="234">
        <f t="shared" si="13"/>
        <v>2160000</v>
      </c>
      <c r="Z68" s="234">
        <f t="shared" si="14"/>
        <v>2160000</v>
      </c>
      <c r="AA68" s="234">
        <f t="shared" si="15"/>
        <v>0</v>
      </c>
      <c r="AB68" s="234">
        <f t="shared" si="16"/>
        <v>0</v>
      </c>
      <c r="AC68" s="234">
        <f t="shared" si="17"/>
        <v>0</v>
      </c>
      <c r="AD68" s="893" t="s">
        <v>4236</v>
      </c>
      <c r="AE68" s="443"/>
      <c r="AF68" s="443"/>
      <c r="AG68" s="443"/>
      <c r="AH68" s="443"/>
    </row>
    <row r="69" spans="1:34" ht="31.5">
      <c r="A69" s="452">
        <v>30</v>
      </c>
      <c r="B69" s="64" t="s">
        <v>2240</v>
      </c>
      <c r="C69" s="427" t="s">
        <v>2241</v>
      </c>
      <c r="D69" s="49">
        <v>24</v>
      </c>
      <c r="E69" s="427" t="s">
        <v>286</v>
      </c>
      <c r="F69" s="65" t="s">
        <v>2216</v>
      </c>
      <c r="G69" s="49">
        <v>24</v>
      </c>
      <c r="H69" s="65"/>
      <c r="I69" s="65"/>
      <c r="J69" s="65"/>
      <c r="K69" s="443"/>
      <c r="L69" s="443"/>
      <c r="M69" s="443"/>
      <c r="N69" s="443"/>
      <c r="O69" s="443"/>
      <c r="P69" s="443"/>
      <c r="Q69" s="443"/>
      <c r="R69" s="443"/>
      <c r="S69" s="443"/>
      <c r="T69" s="443"/>
      <c r="U69" s="443"/>
      <c r="V69" s="443"/>
      <c r="W69" s="443"/>
      <c r="X69" s="234">
        <v>65000</v>
      </c>
      <c r="Y69" s="234">
        <f t="shared" si="13"/>
        <v>1560000</v>
      </c>
      <c r="Z69" s="234">
        <f t="shared" si="14"/>
        <v>1560000</v>
      </c>
      <c r="AA69" s="234">
        <f t="shared" si="15"/>
        <v>0</v>
      </c>
      <c r="AB69" s="234">
        <f t="shared" si="16"/>
        <v>0</v>
      </c>
      <c r="AC69" s="234">
        <f t="shared" si="17"/>
        <v>0</v>
      </c>
      <c r="AD69" s="893" t="s">
        <v>4236</v>
      </c>
      <c r="AE69" s="443"/>
      <c r="AF69" s="443"/>
      <c r="AG69" s="443"/>
      <c r="AH69" s="443"/>
    </row>
    <row r="70" spans="1:34" ht="31.5">
      <c r="A70" s="452">
        <v>31</v>
      </c>
      <c r="B70" s="67" t="s">
        <v>2242</v>
      </c>
      <c r="C70" s="427" t="s">
        <v>2242</v>
      </c>
      <c r="D70" s="65">
        <v>10</v>
      </c>
      <c r="E70" s="65" t="s">
        <v>286</v>
      </c>
      <c r="F70" s="67" t="s">
        <v>600</v>
      </c>
      <c r="G70" s="65">
        <v>5</v>
      </c>
      <c r="H70" s="65">
        <v>5</v>
      </c>
      <c r="I70" s="65"/>
      <c r="J70" s="65"/>
      <c r="K70" s="443"/>
      <c r="L70" s="443"/>
      <c r="M70" s="443"/>
      <c r="N70" s="443"/>
      <c r="O70" s="443"/>
      <c r="P70" s="443"/>
      <c r="Q70" s="443"/>
      <c r="R70" s="443"/>
      <c r="S70" s="443"/>
      <c r="T70" s="443"/>
      <c r="U70" s="443"/>
      <c r="V70" s="443"/>
      <c r="W70" s="443"/>
      <c r="X70" s="234">
        <v>500000</v>
      </c>
      <c r="Y70" s="234">
        <f t="shared" si="13"/>
        <v>5000000</v>
      </c>
      <c r="Z70" s="234">
        <f t="shared" si="14"/>
        <v>2500000</v>
      </c>
      <c r="AA70" s="234">
        <f t="shared" si="15"/>
        <v>2500000</v>
      </c>
      <c r="AB70" s="234">
        <f t="shared" si="16"/>
        <v>0</v>
      </c>
      <c r="AC70" s="234">
        <f t="shared" si="17"/>
        <v>0</v>
      </c>
      <c r="AD70" s="893" t="s">
        <v>4236</v>
      </c>
      <c r="AE70" s="443"/>
      <c r="AF70" s="443"/>
      <c r="AG70" s="443"/>
      <c r="AH70" s="443"/>
    </row>
    <row r="71" spans="1:34">
      <c r="A71" s="383"/>
      <c r="B71" s="445" t="s">
        <v>2996</v>
      </c>
      <c r="C71" s="445"/>
      <c r="D71" s="445"/>
      <c r="E71" s="445"/>
      <c r="F71" s="445"/>
      <c r="G71" s="445"/>
      <c r="H71" s="445"/>
      <c r="I71" s="445"/>
      <c r="J71" s="445"/>
      <c r="K71" s="443"/>
      <c r="L71" s="443"/>
      <c r="M71" s="443"/>
      <c r="N71" s="443"/>
      <c r="O71" s="443"/>
      <c r="P71" s="443"/>
      <c r="Q71" s="443"/>
      <c r="R71" s="443"/>
      <c r="S71" s="443"/>
      <c r="T71" s="443"/>
      <c r="U71" s="443"/>
      <c r="V71" s="443"/>
      <c r="W71" s="443"/>
      <c r="X71" s="383"/>
      <c r="Y71" s="439">
        <f>SUM(Y40:Y70)</f>
        <v>1415830000</v>
      </c>
      <c r="Z71" s="439">
        <f>SUM(Z40:Z70)</f>
        <v>950545000</v>
      </c>
      <c r="AA71" s="439">
        <f>SUM(AA40:AA70)</f>
        <v>419810000</v>
      </c>
      <c r="AB71" s="439">
        <f>SUM(AB40:AB70)</f>
        <v>39475000</v>
      </c>
      <c r="AC71" s="439">
        <f>SUM(AC40:AC70)</f>
        <v>6000000</v>
      </c>
    </row>
    <row r="72" spans="1:34">
      <c r="Y72" s="219"/>
      <c r="Z72" s="219"/>
      <c r="AA72" s="219"/>
      <c r="AB72" s="219"/>
      <c r="AC72" s="219"/>
    </row>
    <row r="73" spans="1:34">
      <c r="Y73" s="219">
        <f>SUM(Y71,Y38,Y23)</f>
        <v>2899260400</v>
      </c>
      <c r="Z73" s="219">
        <f>SUM(Z71,Z38,Z23)</f>
        <v>1110447500</v>
      </c>
      <c r="AA73" s="219">
        <f>SUM(AA71,AA38,AA23)</f>
        <v>1114600200</v>
      </c>
      <c r="AB73" s="219">
        <f>SUM(AB71,AB38,AB23)</f>
        <v>453318900</v>
      </c>
      <c r="AC73" s="219">
        <f>SUM(AC71,AC38,AC23)</f>
        <v>220893800</v>
      </c>
    </row>
    <row r="74" spans="1:34">
      <c r="Y74" s="219">
        <f>SUM(AH64)</f>
        <v>0</v>
      </c>
      <c r="Z74" s="219"/>
      <c r="AA74" s="219"/>
      <c r="AB74" s="219"/>
      <c r="AC74" s="219"/>
    </row>
    <row r="75" spans="1:34">
      <c r="Y75" s="219"/>
      <c r="Z75" s="219"/>
      <c r="AA75" s="219"/>
      <c r="AB75" s="219"/>
      <c r="AC75" s="219"/>
    </row>
    <row r="76" spans="1:34">
      <c r="Y76" s="219"/>
      <c r="Z76" s="219"/>
      <c r="AA76" s="219"/>
      <c r="AB76" s="219"/>
      <c r="AC76" s="219"/>
    </row>
    <row r="77" spans="1:34">
      <c r="Y77" s="219"/>
      <c r="Z77" s="219"/>
      <c r="AA77" s="219"/>
      <c r="AB77" s="219"/>
      <c r="AC77" s="219"/>
    </row>
    <row r="78" spans="1:34">
      <c r="Y78" s="219"/>
      <c r="Z78" s="219"/>
      <c r="AA78" s="219"/>
      <c r="AB78" s="219"/>
      <c r="AC78" s="219"/>
    </row>
    <row r="79" spans="1:34">
      <c r="Y79" s="219"/>
      <c r="Z79" s="219"/>
      <c r="AA79" s="219"/>
      <c r="AB79" s="219"/>
      <c r="AC79" s="219"/>
    </row>
    <row r="80" spans="1:34">
      <c r="Y80" s="219"/>
      <c r="Z80" s="219"/>
      <c r="AA80" s="219"/>
      <c r="AB80" s="219"/>
      <c r="AC80" s="219"/>
    </row>
    <row r="81" spans="25:29">
      <c r="Y81" s="219"/>
      <c r="Z81" s="219"/>
      <c r="AA81" s="219"/>
      <c r="AB81" s="219"/>
      <c r="AC81" s="219"/>
    </row>
    <row r="82" spans="25:29">
      <c r="Y82" s="219"/>
      <c r="Z82" s="219"/>
      <c r="AA82" s="219"/>
      <c r="AB82" s="219"/>
      <c r="AC82" s="219"/>
    </row>
    <row r="83" spans="25:29">
      <c r="Y83" s="219"/>
      <c r="Z83" s="219"/>
      <c r="AA83" s="219"/>
      <c r="AB83" s="219"/>
      <c r="AC83" s="219"/>
    </row>
    <row r="84" spans="25:29">
      <c r="Y84" s="219"/>
      <c r="Z84" s="219"/>
      <c r="AA84" s="219"/>
      <c r="AB84" s="219"/>
      <c r="AC84" s="219"/>
    </row>
    <row r="85" spans="25:29">
      <c r="Y85" s="219"/>
      <c r="Z85" s="219"/>
      <c r="AA85" s="219"/>
      <c r="AB85" s="219"/>
      <c r="AC85" s="219"/>
    </row>
    <row r="86" spans="25:29">
      <c r="Y86" s="219"/>
      <c r="Z86" s="219"/>
      <c r="AA86" s="219"/>
      <c r="AB86" s="219"/>
      <c r="AC86" s="219"/>
    </row>
    <row r="87" spans="25:29">
      <c r="Y87" s="219"/>
      <c r="Z87" s="219"/>
      <c r="AA87" s="219"/>
      <c r="AB87" s="219"/>
      <c r="AC87" s="219"/>
    </row>
    <row r="88" spans="25:29">
      <c r="Y88" s="219"/>
      <c r="Z88" s="219"/>
      <c r="AA88" s="219"/>
      <c r="AB88" s="219"/>
      <c r="AC88" s="219"/>
    </row>
    <row r="89" spans="25:29">
      <c r="Y89" s="219"/>
      <c r="Z89" s="219"/>
      <c r="AA89" s="219"/>
      <c r="AB89" s="219"/>
      <c r="AC89" s="219"/>
    </row>
    <row r="90" spans="25:29">
      <c r="Y90" s="219"/>
      <c r="Z90" s="219"/>
      <c r="AA90" s="219"/>
      <c r="AB90" s="219"/>
      <c r="AC90" s="219"/>
    </row>
    <row r="91" spans="25:29">
      <c r="Y91" s="219"/>
      <c r="Z91" s="219"/>
      <c r="AA91" s="219"/>
      <c r="AB91" s="219"/>
      <c r="AC91" s="219"/>
    </row>
    <row r="92" spans="25:29">
      <c r="Y92" s="219"/>
      <c r="Z92" s="219"/>
      <c r="AA92" s="219"/>
      <c r="AB92" s="219"/>
      <c r="AC92" s="219"/>
    </row>
    <row r="93" spans="25:29">
      <c r="Y93" s="219"/>
      <c r="Z93" s="219"/>
      <c r="AA93" s="219"/>
      <c r="AB93" s="219"/>
      <c r="AC93" s="219"/>
    </row>
    <row r="94" spans="25:29">
      <c r="Y94" s="219"/>
      <c r="Z94" s="219"/>
      <c r="AA94" s="219"/>
      <c r="AB94" s="219"/>
      <c r="AC94" s="219"/>
    </row>
    <row r="95" spans="25:29">
      <c r="Y95" s="219"/>
      <c r="Z95" s="219"/>
      <c r="AA95" s="219"/>
      <c r="AB95" s="219"/>
      <c r="AC95" s="219"/>
    </row>
    <row r="96" spans="25:29">
      <c r="Y96" s="219"/>
      <c r="Z96" s="219"/>
      <c r="AA96" s="219"/>
      <c r="AB96" s="219"/>
      <c r="AC96" s="219"/>
    </row>
    <row r="97" spans="25:29">
      <c r="Y97" s="219"/>
      <c r="Z97" s="219"/>
      <c r="AA97" s="219"/>
      <c r="AB97" s="219"/>
      <c r="AC97" s="219"/>
    </row>
    <row r="98" spans="25:29">
      <c r="Y98" s="219"/>
      <c r="Z98" s="219"/>
      <c r="AA98" s="219"/>
      <c r="AB98" s="219"/>
      <c r="AC98" s="219"/>
    </row>
    <row r="99" spans="25:29">
      <c r="Y99" s="219"/>
      <c r="Z99" s="219"/>
      <c r="AA99" s="219"/>
      <c r="AB99" s="219"/>
      <c r="AC99" s="219"/>
    </row>
    <row r="100" spans="25:29">
      <c r="Y100" s="219"/>
      <c r="Z100" s="219"/>
      <c r="AA100" s="219"/>
      <c r="AB100" s="219"/>
      <c r="AC100" s="219"/>
    </row>
    <row r="101" spans="25:29">
      <c r="Y101" s="219"/>
      <c r="Z101" s="219"/>
      <c r="AA101" s="219"/>
      <c r="AB101" s="219"/>
      <c r="AC101" s="219"/>
    </row>
    <row r="102" spans="25:29">
      <c r="Y102" s="219"/>
      <c r="Z102" s="219"/>
      <c r="AA102" s="219"/>
      <c r="AB102" s="219"/>
      <c r="AC102" s="219"/>
    </row>
    <row r="103" spans="25:29">
      <c r="Y103" s="219"/>
      <c r="Z103" s="219"/>
      <c r="AA103" s="219"/>
      <c r="AB103" s="219"/>
      <c r="AC103" s="219"/>
    </row>
    <row r="104" spans="25:29">
      <c r="Y104" s="219"/>
      <c r="Z104" s="219"/>
      <c r="AA104" s="219"/>
      <c r="AB104" s="219"/>
      <c r="AC104" s="219"/>
    </row>
    <row r="105" spans="25:29">
      <c r="Y105" s="219"/>
      <c r="Z105" s="219"/>
      <c r="AA105" s="219"/>
      <c r="AB105" s="219"/>
      <c r="AC105" s="219"/>
    </row>
    <row r="106" spans="25:29">
      <c r="Y106" s="219"/>
      <c r="Z106" s="219"/>
      <c r="AA106" s="219"/>
      <c r="AB106" s="219"/>
      <c r="AC106" s="219"/>
    </row>
    <row r="107" spans="25:29">
      <c r="Y107" s="219"/>
      <c r="Z107" s="219"/>
      <c r="AA107" s="219"/>
      <c r="AB107" s="219"/>
      <c r="AC107" s="219"/>
    </row>
    <row r="108" spans="25:29">
      <c r="Y108" s="219"/>
      <c r="Z108" s="219"/>
      <c r="AA108" s="219"/>
      <c r="AB108" s="219"/>
      <c r="AC108" s="219"/>
    </row>
    <row r="109" spans="25:29">
      <c r="Y109" s="219"/>
      <c r="Z109" s="219"/>
      <c r="AA109" s="219"/>
      <c r="AB109" s="219"/>
      <c r="AC109" s="219"/>
    </row>
    <row r="110" spans="25:29">
      <c r="Y110" s="219"/>
      <c r="Z110" s="219"/>
      <c r="AA110" s="219"/>
      <c r="AB110" s="219"/>
      <c r="AC110" s="219"/>
    </row>
    <row r="111" spans="25:29">
      <c r="Y111" s="219"/>
      <c r="Z111" s="219"/>
      <c r="AA111" s="219"/>
      <c r="AB111" s="219"/>
      <c r="AC111" s="219"/>
    </row>
    <row r="112" spans="25:29">
      <c r="Y112" s="219"/>
      <c r="Z112" s="219"/>
      <c r="AA112" s="219"/>
      <c r="AB112" s="219"/>
      <c r="AC112" s="219"/>
    </row>
    <row r="113" spans="25:29">
      <c r="Y113" s="219"/>
      <c r="Z113" s="219"/>
      <c r="AA113" s="219"/>
      <c r="AB113" s="219"/>
      <c r="AC113" s="219"/>
    </row>
    <row r="114" spans="25:29">
      <c r="Y114" s="219"/>
      <c r="Z114" s="219"/>
      <c r="AA114" s="219"/>
      <c r="AB114" s="219"/>
      <c r="AC114" s="219"/>
    </row>
    <row r="115" spans="25:29">
      <c r="Y115" s="219"/>
      <c r="Z115" s="219"/>
      <c r="AA115" s="219"/>
      <c r="AB115" s="219"/>
      <c r="AC115" s="219"/>
    </row>
    <row r="116" spans="25:29">
      <c r="Y116" s="219"/>
      <c r="Z116" s="219"/>
      <c r="AA116" s="219"/>
      <c r="AB116" s="219"/>
      <c r="AC116" s="219"/>
    </row>
    <row r="117" spans="25:29">
      <c r="Y117" s="219"/>
      <c r="Z117" s="219"/>
      <c r="AA117" s="219"/>
      <c r="AB117" s="219"/>
      <c r="AC117" s="219"/>
    </row>
    <row r="118" spans="25:29">
      <c r="Y118" s="219"/>
      <c r="Z118" s="219"/>
      <c r="AA118" s="219"/>
      <c r="AB118" s="219"/>
      <c r="AC118" s="219"/>
    </row>
    <row r="119" spans="25:29">
      <c r="Y119" s="219"/>
      <c r="Z119" s="219"/>
      <c r="AA119" s="219"/>
      <c r="AB119" s="219"/>
      <c r="AC119" s="219"/>
    </row>
    <row r="120" spans="25:29">
      <c r="Y120" s="219"/>
      <c r="Z120" s="219"/>
      <c r="AA120" s="219"/>
      <c r="AB120" s="219"/>
      <c r="AC120" s="219"/>
    </row>
    <row r="121" spans="25:29">
      <c r="Y121" s="219"/>
      <c r="Z121" s="219"/>
      <c r="AA121" s="219"/>
      <c r="AB121" s="219"/>
      <c r="AC121" s="219"/>
    </row>
    <row r="122" spans="25:29">
      <c r="Y122" s="219"/>
      <c r="Z122" s="219"/>
      <c r="AA122" s="219"/>
      <c r="AB122" s="219"/>
      <c r="AC122" s="219"/>
    </row>
    <row r="123" spans="25:29">
      <c r="Y123" s="219"/>
      <c r="Z123" s="219"/>
      <c r="AA123" s="219"/>
      <c r="AB123" s="219"/>
      <c r="AC123" s="219"/>
    </row>
    <row r="124" spans="25:29">
      <c r="Y124" s="219"/>
      <c r="Z124" s="219"/>
      <c r="AA124" s="219"/>
      <c r="AB124" s="219"/>
      <c r="AC124" s="219"/>
    </row>
    <row r="125" spans="25:29">
      <c r="Y125" s="219"/>
      <c r="Z125" s="219"/>
      <c r="AA125" s="219"/>
      <c r="AB125" s="219"/>
      <c r="AC125" s="219"/>
    </row>
    <row r="126" spans="25:29">
      <c r="Y126" s="219"/>
      <c r="Z126" s="219"/>
      <c r="AA126" s="219"/>
      <c r="AB126" s="219"/>
      <c r="AC126" s="219"/>
    </row>
    <row r="127" spans="25:29">
      <c r="Y127" s="219"/>
      <c r="Z127" s="219"/>
      <c r="AA127" s="219"/>
      <c r="AB127" s="219"/>
      <c r="AC127" s="219"/>
    </row>
    <row r="128" spans="25:29">
      <c r="Y128" s="219"/>
      <c r="Z128" s="219"/>
      <c r="AA128" s="219"/>
      <c r="AB128" s="219"/>
      <c r="AC128" s="219"/>
    </row>
  </sheetData>
  <customSheetViews>
    <customSheetView guid="{750F99BE-5C19-4848-A09A-0E4FD0F9F8FC}" scale="70" hiddenColumns="1" topLeftCell="A4">
      <selection activeCell="A24" sqref="A24:AC24"/>
      <pageMargins left="0.7" right="0.7" top="0.75" bottom="0.75" header="0.3" footer="0.3"/>
      <pageSetup paperSize="9" orientation="portrait" verticalDpi="360" r:id="rId1"/>
    </customSheetView>
    <customSheetView guid="{DEF9C65D-F8A0-4631-A6BF-69DD462E745F}" scale="90" hiddenColumns="1" topLeftCell="A7">
      <selection activeCell="J22" sqref="H21:J22"/>
      <pageMargins left="0.7" right="0.7" top="0.75" bottom="0.75" header="0.3" footer="0.3"/>
      <pageSetup paperSize="9" orientation="portrait" verticalDpi="0" r:id="rId2"/>
    </customSheetView>
    <customSheetView guid="{F53706EC-596C-4347-9C22-A701412B0A41}" scale="90" hiddenColumns="1" topLeftCell="A7">
      <selection activeCell="J22" sqref="H21:J22"/>
      <pageMargins left="0.7" right="0.7" top="0.75" bottom="0.75" header="0.3" footer="0.3"/>
      <pageSetup paperSize="9" orientation="portrait" verticalDpi="0" r:id="rId3"/>
    </customSheetView>
    <customSheetView guid="{93AFD236-396B-4FF3-AB41-05714D8754DB}" scale="90" hiddenColumns="1" topLeftCell="A7">
      <selection activeCell="J22" sqref="H21:J22"/>
      <pageMargins left="0.7" right="0.7" top="0.75" bottom="0.75" header="0.3" footer="0.3"/>
      <pageSetup paperSize="9" orientation="portrait" verticalDpi="0" r:id="rId4"/>
    </customSheetView>
  </customSheetViews>
  <mergeCells count="26">
    <mergeCell ref="A24:AC24"/>
    <mergeCell ref="A39:AC39"/>
    <mergeCell ref="AC1:AC2"/>
    <mergeCell ref="X1:X2"/>
    <mergeCell ref="Y1:Y2"/>
    <mergeCell ref="Z1:Z2"/>
    <mergeCell ref="AA1:AA2"/>
    <mergeCell ref="AB1:AB2"/>
    <mergeCell ref="L1:N1"/>
    <mergeCell ref="O1:P1"/>
    <mergeCell ref="Q1:S1"/>
    <mergeCell ref="T1:U1"/>
    <mergeCell ref="V1:W1"/>
    <mergeCell ref="G1:J1"/>
    <mergeCell ref="A1:A2"/>
    <mergeCell ref="A3:AD3"/>
    <mergeCell ref="B1:B2"/>
    <mergeCell ref="C1:C2"/>
    <mergeCell ref="D1:D2"/>
    <mergeCell ref="E1:E2"/>
    <mergeCell ref="F1:F2"/>
    <mergeCell ref="AE1:AE2"/>
    <mergeCell ref="AF1:AF2"/>
    <mergeCell ref="AG1:AG2"/>
    <mergeCell ref="AH1:AH2"/>
    <mergeCell ref="AD1:AD2"/>
  </mergeCells>
  <pageMargins left="0.7" right="0.7" top="0.75" bottom="0.75" header="0.3" footer="0.3"/>
  <pageSetup paperSize="9" orientation="portrait" verticalDpi="360" r:id="rId5"/>
  <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T239"/>
  <sheetViews>
    <sheetView zoomScale="70" zoomScaleNormal="70" workbookViewId="0">
      <selection activeCell="J1" sqref="J1:T1048576"/>
    </sheetView>
  </sheetViews>
  <sheetFormatPr defaultRowHeight="15"/>
  <cols>
    <col min="1" max="1" width="5.5703125" style="44" customWidth="1"/>
    <col min="2" max="2" width="61" style="41" customWidth="1"/>
    <col min="3" max="3" width="33.42578125" style="44" bestFit="1" customWidth="1"/>
    <col min="4" max="4" width="11.42578125" style="87" customWidth="1"/>
    <col min="5" max="5" width="27.28515625" style="41" customWidth="1"/>
    <col min="6" max="7" width="9.140625" style="41" hidden="1" customWidth="1"/>
    <col min="8" max="9" width="9.140625" style="41" customWidth="1"/>
    <col min="10" max="10" width="20.42578125" style="174" hidden="1" customWidth="1"/>
    <col min="11" max="11" width="27.42578125" style="174" hidden="1" customWidth="1"/>
    <col min="12" max="15" width="23.85546875" style="174" hidden="1" customWidth="1"/>
    <col min="16" max="16" width="22.5703125" style="174" hidden="1" customWidth="1"/>
    <col min="17" max="17" width="26" hidden="1" customWidth="1"/>
    <col min="18" max="18" width="16.7109375" hidden="1" customWidth="1"/>
    <col min="19" max="19" width="0" hidden="1" customWidth="1"/>
    <col min="20" max="20" width="21.7109375" hidden="1" customWidth="1"/>
  </cols>
  <sheetData>
    <row r="1" spans="1:20" ht="23.25" customHeight="1">
      <c r="A1" s="1242" t="s">
        <v>2259</v>
      </c>
      <c r="B1" s="1159" t="s">
        <v>272</v>
      </c>
      <c r="C1" s="1159" t="s">
        <v>273</v>
      </c>
      <c r="D1" s="1159" t="s">
        <v>1865</v>
      </c>
      <c r="E1" s="1159" t="s">
        <v>1865</v>
      </c>
      <c r="F1" s="1159" t="s">
        <v>1866</v>
      </c>
      <c r="G1" s="1159"/>
      <c r="H1" s="1159"/>
      <c r="I1" s="1159"/>
      <c r="J1" s="1159" t="s">
        <v>2881</v>
      </c>
      <c r="K1" s="1159" t="s">
        <v>2882</v>
      </c>
      <c r="L1" s="1159" t="s">
        <v>2883</v>
      </c>
      <c r="M1" s="1159" t="s">
        <v>2884</v>
      </c>
      <c r="N1" s="1159" t="s">
        <v>2885</v>
      </c>
      <c r="O1" s="1159" t="s">
        <v>2886</v>
      </c>
      <c r="P1" s="1088" t="s">
        <v>4230</v>
      </c>
      <c r="Q1" s="1119" t="s">
        <v>4700</v>
      </c>
      <c r="R1" s="1119" t="s">
        <v>4701</v>
      </c>
      <c r="S1" s="1119" t="s">
        <v>4702</v>
      </c>
      <c r="T1" s="1119" t="s">
        <v>2882</v>
      </c>
    </row>
    <row r="2" spans="1:20" s="58" customFormat="1" ht="37.5" customHeight="1">
      <c r="A2" s="1242"/>
      <c r="B2" s="1159"/>
      <c r="C2" s="1159"/>
      <c r="D2" s="1159"/>
      <c r="E2" s="1159"/>
      <c r="F2" s="228" t="s">
        <v>3</v>
      </c>
      <c r="G2" s="228" t="s">
        <v>4</v>
      </c>
      <c r="H2" s="228" t="s">
        <v>5</v>
      </c>
      <c r="I2" s="228" t="s">
        <v>6</v>
      </c>
      <c r="J2" s="1159"/>
      <c r="K2" s="1159"/>
      <c r="L2" s="1159"/>
      <c r="M2" s="1159"/>
      <c r="N2" s="1159"/>
      <c r="O2" s="1159"/>
      <c r="P2" s="1089"/>
      <c r="Q2" s="1119"/>
      <c r="R2" s="1119"/>
      <c r="S2" s="1119"/>
      <c r="T2" s="1119"/>
    </row>
    <row r="3" spans="1:20" ht="15" customHeight="1">
      <c r="A3" s="1240" t="s">
        <v>838</v>
      </c>
      <c r="B3" s="1182"/>
      <c r="C3" s="1182"/>
      <c r="D3" s="1182"/>
      <c r="E3" s="1182"/>
      <c r="F3" s="1182"/>
      <c r="G3" s="1182"/>
      <c r="H3" s="1182"/>
      <c r="I3" s="1241"/>
      <c r="Q3" s="383"/>
      <c r="R3" s="383"/>
      <c r="S3" s="383"/>
      <c r="T3" s="383"/>
    </row>
    <row r="4" spans="1:20" ht="15.75" customHeight="1">
      <c r="A4" s="82">
        <v>1</v>
      </c>
      <c r="B4" s="23" t="s">
        <v>839</v>
      </c>
      <c r="C4" s="99" t="s">
        <v>2260</v>
      </c>
      <c r="D4" s="82" t="s">
        <v>286</v>
      </c>
      <c r="E4" s="82">
        <v>70</v>
      </c>
      <c r="F4" s="82">
        <f t="shared" ref="F4:F15" si="0">E4*0.4</f>
        <v>28</v>
      </c>
      <c r="G4" s="82">
        <f t="shared" ref="G4:G15" si="1">E4*0.2</f>
        <v>14</v>
      </c>
      <c r="H4" s="82">
        <f t="shared" ref="H4:H15" si="2">E4*0.2</f>
        <v>14</v>
      </c>
      <c r="I4" s="82">
        <f t="shared" ref="I4:I15" si="3">E4*0.2</f>
        <v>14</v>
      </c>
      <c r="J4" s="199">
        <v>4338354.3030000003</v>
      </c>
      <c r="K4" s="215">
        <f t="shared" ref="K4:K67" si="4">J4*E4</f>
        <v>303684801.21000004</v>
      </c>
      <c r="L4" s="185">
        <f t="shared" ref="L4:L21" si="5">J4*F4</f>
        <v>121473920.48400001</v>
      </c>
      <c r="M4" s="186">
        <f t="shared" ref="M4:M21" si="6">J4*G4</f>
        <v>60736960.242000006</v>
      </c>
      <c r="N4" s="187">
        <f t="shared" ref="N4:N21" si="7">J4*H4</f>
        <v>60736960.242000006</v>
      </c>
      <c r="O4" s="985">
        <f t="shared" ref="O4:O21" si="8">J4*I4</f>
        <v>60736960.242000006</v>
      </c>
      <c r="P4" s="986"/>
      <c r="Q4" s="383"/>
      <c r="R4" s="383"/>
      <c r="S4" s="452">
        <f>F4+G4+H4+I4-R4</f>
        <v>70</v>
      </c>
      <c r="T4" s="383"/>
    </row>
    <row r="5" spans="1:20" ht="15.75" customHeight="1">
      <c r="A5" s="82">
        <v>2</v>
      </c>
      <c r="B5" s="23" t="s">
        <v>840</v>
      </c>
      <c r="C5" s="68" t="s">
        <v>2261</v>
      </c>
      <c r="D5" s="82" t="s">
        <v>286</v>
      </c>
      <c r="E5" s="82">
        <v>150</v>
      </c>
      <c r="F5" s="82">
        <f t="shared" si="0"/>
        <v>60</v>
      </c>
      <c r="G5" s="82">
        <f t="shared" si="1"/>
        <v>30</v>
      </c>
      <c r="H5" s="82">
        <f t="shared" si="2"/>
        <v>30</v>
      </c>
      <c r="I5" s="82">
        <f t="shared" si="3"/>
        <v>30</v>
      </c>
      <c r="J5" s="199">
        <v>5553896.1370000001</v>
      </c>
      <c r="K5" s="215">
        <f t="shared" si="4"/>
        <v>833084420.55000007</v>
      </c>
      <c r="L5" s="185">
        <f t="shared" si="5"/>
        <v>333233768.22000003</v>
      </c>
      <c r="M5" s="186">
        <f t="shared" si="6"/>
        <v>166616884.11000001</v>
      </c>
      <c r="N5" s="187">
        <f t="shared" si="7"/>
        <v>166616884.11000001</v>
      </c>
      <c r="O5" s="985">
        <f t="shared" si="8"/>
        <v>166616884.11000001</v>
      </c>
      <c r="P5" s="986"/>
      <c r="Q5" s="383"/>
      <c r="R5" s="383"/>
      <c r="S5" s="452">
        <f t="shared" ref="S5:S68" si="9">F5+G5+H5+I5-R5</f>
        <v>150</v>
      </c>
      <c r="T5" s="383"/>
    </row>
    <row r="6" spans="1:20" ht="15.75" customHeight="1">
      <c r="A6" s="82">
        <v>3</v>
      </c>
      <c r="B6" s="23" t="s">
        <v>841</v>
      </c>
      <c r="C6" s="99" t="s">
        <v>2262</v>
      </c>
      <c r="D6" s="82" t="s">
        <v>286</v>
      </c>
      <c r="E6" s="82">
        <v>80</v>
      </c>
      <c r="F6" s="82">
        <f t="shared" si="0"/>
        <v>32</v>
      </c>
      <c r="G6" s="82">
        <f t="shared" si="1"/>
        <v>16</v>
      </c>
      <c r="H6" s="82">
        <f t="shared" si="2"/>
        <v>16</v>
      </c>
      <c r="I6" s="82">
        <f t="shared" si="3"/>
        <v>16</v>
      </c>
      <c r="J6" s="199">
        <v>2178748.1449999996</v>
      </c>
      <c r="K6" s="215">
        <f t="shared" si="4"/>
        <v>174299851.59999996</v>
      </c>
      <c r="L6" s="185">
        <f t="shared" si="5"/>
        <v>69719940.639999986</v>
      </c>
      <c r="M6" s="186">
        <f t="shared" si="6"/>
        <v>34859970.319999993</v>
      </c>
      <c r="N6" s="187">
        <f t="shared" si="7"/>
        <v>34859970.319999993</v>
      </c>
      <c r="O6" s="985">
        <f t="shared" si="8"/>
        <v>34859970.319999993</v>
      </c>
      <c r="P6" s="986"/>
      <c r="Q6" s="383"/>
      <c r="R6" s="383"/>
      <c r="S6" s="452">
        <f t="shared" si="9"/>
        <v>80</v>
      </c>
      <c r="T6" s="383"/>
    </row>
    <row r="7" spans="1:20" ht="15.75" customHeight="1">
      <c r="A7" s="82">
        <v>4</v>
      </c>
      <c r="B7" s="23" t="s">
        <v>842</v>
      </c>
      <c r="C7" s="68" t="s">
        <v>2263</v>
      </c>
      <c r="D7" s="82" t="s">
        <v>286</v>
      </c>
      <c r="E7" s="82">
        <v>230</v>
      </c>
      <c r="F7" s="82">
        <f t="shared" si="0"/>
        <v>92</v>
      </c>
      <c r="G7" s="82">
        <f t="shared" si="1"/>
        <v>46</v>
      </c>
      <c r="H7" s="82">
        <f t="shared" si="2"/>
        <v>46</v>
      </c>
      <c r="I7" s="82">
        <f t="shared" si="3"/>
        <v>46</v>
      </c>
      <c r="J7" s="199">
        <v>3052197.5250000004</v>
      </c>
      <c r="K7" s="215">
        <f>J7*E7</f>
        <v>702005430.75000012</v>
      </c>
      <c r="L7" s="185">
        <f t="shared" si="5"/>
        <v>280802172.30000001</v>
      </c>
      <c r="M7" s="186">
        <f t="shared" si="6"/>
        <v>140401086.15000001</v>
      </c>
      <c r="N7" s="187">
        <f t="shared" si="7"/>
        <v>140401086.15000001</v>
      </c>
      <c r="O7" s="985">
        <f t="shared" si="8"/>
        <v>140401086.15000001</v>
      </c>
      <c r="P7" s="986"/>
      <c r="Q7" s="383"/>
      <c r="R7" s="383"/>
      <c r="S7" s="452">
        <f t="shared" si="9"/>
        <v>230</v>
      </c>
      <c r="T7" s="383"/>
    </row>
    <row r="8" spans="1:20" ht="15.75" customHeight="1">
      <c r="A8" s="82">
        <v>5</v>
      </c>
      <c r="B8" s="23" t="s">
        <v>843</v>
      </c>
      <c r="C8" s="68" t="s">
        <v>2264</v>
      </c>
      <c r="D8" s="82" t="s">
        <v>286</v>
      </c>
      <c r="E8" s="82">
        <v>50</v>
      </c>
      <c r="F8" s="82">
        <f t="shared" si="0"/>
        <v>20</v>
      </c>
      <c r="G8" s="82">
        <f t="shared" si="1"/>
        <v>10</v>
      </c>
      <c r="H8" s="82">
        <f t="shared" si="2"/>
        <v>10</v>
      </c>
      <c r="I8" s="82">
        <f t="shared" si="3"/>
        <v>10</v>
      </c>
      <c r="J8" s="199">
        <v>5744084.3509999989</v>
      </c>
      <c r="K8" s="215">
        <f t="shared" si="4"/>
        <v>287204217.54999995</v>
      </c>
      <c r="L8" s="185">
        <f t="shared" si="5"/>
        <v>114881687.01999998</v>
      </c>
      <c r="M8" s="186">
        <f t="shared" si="6"/>
        <v>57440843.50999999</v>
      </c>
      <c r="N8" s="187">
        <f t="shared" si="7"/>
        <v>57440843.50999999</v>
      </c>
      <c r="O8" s="985">
        <f t="shared" si="8"/>
        <v>57440843.50999999</v>
      </c>
      <c r="P8" s="986"/>
      <c r="Q8" s="383"/>
      <c r="R8" s="383"/>
      <c r="S8" s="452">
        <f t="shared" si="9"/>
        <v>50</v>
      </c>
      <c r="T8" s="383"/>
    </row>
    <row r="9" spans="1:20" ht="15.75" customHeight="1">
      <c r="A9" s="82">
        <v>6</v>
      </c>
      <c r="B9" s="23" t="s">
        <v>844</v>
      </c>
      <c r="C9" s="68" t="s">
        <v>2265</v>
      </c>
      <c r="D9" s="82" t="s">
        <v>286</v>
      </c>
      <c r="E9" s="82">
        <v>370</v>
      </c>
      <c r="F9" s="82">
        <f t="shared" si="0"/>
        <v>148</v>
      </c>
      <c r="G9" s="82">
        <f t="shared" si="1"/>
        <v>74</v>
      </c>
      <c r="H9" s="82">
        <f t="shared" si="2"/>
        <v>74</v>
      </c>
      <c r="I9" s="82">
        <f t="shared" si="3"/>
        <v>74</v>
      </c>
      <c r="J9" s="199">
        <v>7934841.142</v>
      </c>
      <c r="K9" s="215">
        <f t="shared" si="4"/>
        <v>2935891222.54</v>
      </c>
      <c r="L9" s="185">
        <f t="shared" si="5"/>
        <v>1174356489.016</v>
      </c>
      <c r="M9" s="186">
        <f t="shared" si="6"/>
        <v>587178244.50800002</v>
      </c>
      <c r="N9" s="187">
        <f t="shared" si="7"/>
        <v>587178244.50800002</v>
      </c>
      <c r="O9" s="985">
        <f t="shared" si="8"/>
        <v>587178244.50800002</v>
      </c>
      <c r="P9" s="986"/>
      <c r="Q9" s="383"/>
      <c r="R9" s="383"/>
      <c r="S9" s="452">
        <f t="shared" si="9"/>
        <v>370</v>
      </c>
      <c r="T9" s="383"/>
    </row>
    <row r="10" spans="1:20" ht="15.75" customHeight="1">
      <c r="A10" s="82">
        <v>7</v>
      </c>
      <c r="B10" s="23" t="s">
        <v>845</v>
      </c>
      <c r="C10" s="68" t="s">
        <v>2266</v>
      </c>
      <c r="D10" s="82" t="s">
        <v>286</v>
      </c>
      <c r="E10" s="82">
        <v>50</v>
      </c>
      <c r="F10" s="82">
        <f t="shared" si="0"/>
        <v>20</v>
      </c>
      <c r="G10" s="82">
        <f t="shared" si="1"/>
        <v>10</v>
      </c>
      <c r="H10" s="82">
        <f t="shared" si="2"/>
        <v>10</v>
      </c>
      <c r="I10" s="82">
        <f t="shared" si="3"/>
        <v>10</v>
      </c>
      <c r="J10" s="199">
        <v>2325109.9330000002</v>
      </c>
      <c r="K10" s="215">
        <f t="shared" si="4"/>
        <v>116255496.65000001</v>
      </c>
      <c r="L10" s="185">
        <f t="shared" si="5"/>
        <v>46502198.660000004</v>
      </c>
      <c r="M10" s="186">
        <f t="shared" si="6"/>
        <v>23251099.330000002</v>
      </c>
      <c r="N10" s="187">
        <f t="shared" si="7"/>
        <v>23251099.330000002</v>
      </c>
      <c r="O10" s="985">
        <f t="shared" si="8"/>
        <v>23251099.330000002</v>
      </c>
      <c r="P10" s="986"/>
      <c r="Q10" s="383"/>
      <c r="R10" s="383"/>
      <c r="S10" s="452">
        <f t="shared" si="9"/>
        <v>50</v>
      </c>
      <c r="T10" s="383"/>
    </row>
    <row r="11" spans="1:20" ht="15.75" customHeight="1">
      <c r="A11" s="82">
        <v>8</v>
      </c>
      <c r="B11" s="23" t="s">
        <v>846</v>
      </c>
      <c r="C11" s="68" t="s">
        <v>2267</v>
      </c>
      <c r="D11" s="82" t="s">
        <v>286</v>
      </c>
      <c r="E11" s="82">
        <v>555</v>
      </c>
      <c r="F11" s="82">
        <f t="shared" si="0"/>
        <v>222</v>
      </c>
      <c r="G11" s="82">
        <f t="shared" si="1"/>
        <v>111</v>
      </c>
      <c r="H11" s="82">
        <f t="shared" si="2"/>
        <v>111</v>
      </c>
      <c r="I11" s="82">
        <f t="shared" si="3"/>
        <v>111</v>
      </c>
      <c r="J11" s="199">
        <v>3307817.4639999997</v>
      </c>
      <c r="K11" s="215">
        <f t="shared" si="4"/>
        <v>1835838692.5199997</v>
      </c>
      <c r="L11" s="185">
        <f t="shared" si="5"/>
        <v>734335477.0079999</v>
      </c>
      <c r="M11" s="186">
        <f t="shared" si="6"/>
        <v>367167738.50399995</v>
      </c>
      <c r="N11" s="187">
        <f t="shared" si="7"/>
        <v>367167738.50399995</v>
      </c>
      <c r="O11" s="985">
        <f t="shared" si="8"/>
        <v>367167738.50399995</v>
      </c>
      <c r="P11" s="986"/>
      <c r="Q11" s="383"/>
      <c r="R11" s="383"/>
      <c r="S11" s="452">
        <f t="shared" si="9"/>
        <v>555</v>
      </c>
      <c r="T11" s="383"/>
    </row>
    <row r="12" spans="1:20" ht="15.75" customHeight="1">
      <c r="A12" s="82">
        <v>9</v>
      </c>
      <c r="B12" s="23" t="s">
        <v>847</v>
      </c>
      <c r="C12" s="68" t="s">
        <v>2268</v>
      </c>
      <c r="D12" s="82" t="s">
        <v>286</v>
      </c>
      <c r="E12" s="82">
        <v>10</v>
      </c>
      <c r="F12" s="82">
        <f t="shared" si="0"/>
        <v>4</v>
      </c>
      <c r="G12" s="82">
        <f t="shared" si="1"/>
        <v>2</v>
      </c>
      <c r="H12" s="82">
        <f t="shared" si="2"/>
        <v>2</v>
      </c>
      <c r="I12" s="82">
        <f t="shared" si="3"/>
        <v>2</v>
      </c>
      <c r="J12" s="199">
        <v>6806182.3749999991</v>
      </c>
      <c r="K12" s="215">
        <f t="shared" si="4"/>
        <v>68061823.749999985</v>
      </c>
      <c r="L12" s="185">
        <f t="shared" si="5"/>
        <v>27224729.499999996</v>
      </c>
      <c r="M12" s="186">
        <f t="shared" si="6"/>
        <v>13612364.749999998</v>
      </c>
      <c r="N12" s="187">
        <f t="shared" si="7"/>
        <v>13612364.749999998</v>
      </c>
      <c r="O12" s="985">
        <f t="shared" si="8"/>
        <v>13612364.749999998</v>
      </c>
      <c r="P12" s="986"/>
      <c r="Q12" s="383"/>
      <c r="R12" s="383"/>
      <c r="S12" s="452">
        <f t="shared" si="9"/>
        <v>10</v>
      </c>
      <c r="T12" s="383"/>
    </row>
    <row r="13" spans="1:20" ht="15.75" customHeight="1">
      <c r="A13" s="82">
        <v>10</v>
      </c>
      <c r="B13" s="23" t="s">
        <v>848</v>
      </c>
      <c r="C13" s="68" t="s">
        <v>2269</v>
      </c>
      <c r="D13" s="82" t="s">
        <v>286</v>
      </c>
      <c r="E13" s="82">
        <v>40</v>
      </c>
      <c r="F13" s="82">
        <f t="shared" si="0"/>
        <v>16</v>
      </c>
      <c r="G13" s="82">
        <f t="shared" si="1"/>
        <v>8</v>
      </c>
      <c r="H13" s="82">
        <f t="shared" si="2"/>
        <v>8</v>
      </c>
      <c r="I13" s="82">
        <f t="shared" si="3"/>
        <v>8</v>
      </c>
      <c r="J13" s="199">
        <v>10392302.776000001</v>
      </c>
      <c r="K13" s="215">
        <f t="shared" si="4"/>
        <v>415692111.04000002</v>
      </c>
      <c r="L13" s="185">
        <f t="shared" si="5"/>
        <v>166276844.41600001</v>
      </c>
      <c r="M13" s="186">
        <f t="shared" si="6"/>
        <v>83138422.208000004</v>
      </c>
      <c r="N13" s="187">
        <f t="shared" si="7"/>
        <v>83138422.208000004</v>
      </c>
      <c r="O13" s="985">
        <f t="shared" si="8"/>
        <v>83138422.208000004</v>
      </c>
      <c r="P13" s="986"/>
      <c r="Q13" s="383"/>
      <c r="R13" s="383"/>
      <c r="S13" s="452">
        <f t="shared" si="9"/>
        <v>40</v>
      </c>
      <c r="T13" s="383"/>
    </row>
    <row r="14" spans="1:20" ht="15.75" customHeight="1">
      <c r="A14" s="82">
        <v>11</v>
      </c>
      <c r="B14" s="23" t="s">
        <v>849</v>
      </c>
      <c r="C14" s="68" t="s">
        <v>2270</v>
      </c>
      <c r="D14" s="82" t="s">
        <v>286</v>
      </c>
      <c r="E14" s="82">
        <v>15</v>
      </c>
      <c r="F14" s="82">
        <f t="shared" si="0"/>
        <v>6</v>
      </c>
      <c r="G14" s="82">
        <f t="shared" si="1"/>
        <v>3</v>
      </c>
      <c r="H14" s="82">
        <f t="shared" si="2"/>
        <v>3</v>
      </c>
      <c r="I14" s="82">
        <f t="shared" si="3"/>
        <v>3</v>
      </c>
      <c r="J14" s="199">
        <v>4034083.9519999991</v>
      </c>
      <c r="K14" s="215">
        <f t="shared" si="4"/>
        <v>60511259.279999986</v>
      </c>
      <c r="L14" s="185">
        <f t="shared" si="5"/>
        <v>24204503.711999994</v>
      </c>
      <c r="M14" s="186">
        <f t="shared" si="6"/>
        <v>12102251.855999997</v>
      </c>
      <c r="N14" s="187">
        <f t="shared" si="7"/>
        <v>12102251.855999997</v>
      </c>
      <c r="O14" s="985">
        <f t="shared" si="8"/>
        <v>12102251.855999997</v>
      </c>
      <c r="P14" s="986"/>
      <c r="Q14" s="383"/>
      <c r="R14" s="383"/>
      <c r="S14" s="452">
        <f t="shared" si="9"/>
        <v>15</v>
      </c>
      <c r="T14" s="383"/>
    </row>
    <row r="15" spans="1:20" ht="15.75" customHeight="1">
      <c r="A15" s="82">
        <v>12</v>
      </c>
      <c r="B15" s="23" t="s">
        <v>850</v>
      </c>
      <c r="C15" s="68" t="s">
        <v>2271</v>
      </c>
      <c r="D15" s="82" t="s">
        <v>286</v>
      </c>
      <c r="E15" s="82">
        <v>60</v>
      </c>
      <c r="F15" s="82">
        <f t="shared" si="0"/>
        <v>24</v>
      </c>
      <c r="G15" s="82">
        <f t="shared" si="1"/>
        <v>12</v>
      </c>
      <c r="H15" s="82">
        <f t="shared" si="2"/>
        <v>12</v>
      </c>
      <c r="I15" s="82">
        <f t="shared" si="3"/>
        <v>12</v>
      </c>
      <c r="J15" s="199">
        <v>4909534.773</v>
      </c>
      <c r="K15" s="215">
        <f t="shared" si="4"/>
        <v>294572086.38</v>
      </c>
      <c r="L15" s="185">
        <f t="shared" si="5"/>
        <v>117828834.552</v>
      </c>
      <c r="M15" s="186">
        <f t="shared" si="6"/>
        <v>58914417.276000001</v>
      </c>
      <c r="N15" s="187">
        <f t="shared" si="7"/>
        <v>58914417.276000001</v>
      </c>
      <c r="O15" s="985">
        <f t="shared" si="8"/>
        <v>58914417.276000001</v>
      </c>
      <c r="P15" s="986"/>
      <c r="Q15" s="383"/>
      <c r="R15" s="383"/>
      <c r="S15" s="452">
        <f t="shared" si="9"/>
        <v>60</v>
      </c>
      <c r="T15" s="383"/>
    </row>
    <row r="16" spans="1:20" ht="15.75" customHeight="1">
      <c r="A16" s="82">
        <v>13</v>
      </c>
      <c r="B16" s="68" t="s">
        <v>851</v>
      </c>
      <c r="C16" s="68" t="s">
        <v>2272</v>
      </c>
      <c r="D16" s="82" t="s">
        <v>286</v>
      </c>
      <c r="E16" s="82">
        <v>9139</v>
      </c>
      <c r="F16" s="82">
        <v>3667</v>
      </c>
      <c r="G16" s="82">
        <v>1843</v>
      </c>
      <c r="H16" s="82">
        <v>1824</v>
      </c>
      <c r="I16" s="82">
        <v>1805</v>
      </c>
      <c r="J16" s="199">
        <v>4549275.3930000002</v>
      </c>
      <c r="K16" s="215">
        <f t="shared" si="4"/>
        <v>41575827816.626999</v>
      </c>
      <c r="L16" s="185">
        <f t="shared" si="5"/>
        <v>16682192866.131001</v>
      </c>
      <c r="M16" s="186">
        <f t="shared" si="6"/>
        <v>8384314549.2990007</v>
      </c>
      <c r="N16" s="187">
        <f t="shared" si="7"/>
        <v>8297878316.8320007</v>
      </c>
      <c r="O16" s="985">
        <f t="shared" si="8"/>
        <v>8211442084.3650007</v>
      </c>
      <c r="P16" s="986"/>
      <c r="Q16" s="383"/>
      <c r="R16" s="383"/>
      <c r="S16" s="452">
        <f t="shared" si="9"/>
        <v>9139</v>
      </c>
      <c r="T16" s="383"/>
    </row>
    <row r="17" spans="1:20" ht="15.75" customHeight="1">
      <c r="A17" s="82">
        <v>14</v>
      </c>
      <c r="B17" s="68" t="s">
        <v>852</v>
      </c>
      <c r="C17" s="68" t="s">
        <v>2273</v>
      </c>
      <c r="D17" s="82" t="s">
        <v>286</v>
      </c>
      <c r="E17" s="82">
        <v>9899</v>
      </c>
      <c r="F17" s="82">
        <v>3971</v>
      </c>
      <c r="G17" s="82">
        <v>1995</v>
      </c>
      <c r="H17" s="82">
        <v>1976</v>
      </c>
      <c r="I17" s="82">
        <v>1957</v>
      </c>
      <c r="J17" s="199">
        <v>6079505.335</v>
      </c>
      <c r="K17" s="215">
        <f t="shared" si="4"/>
        <v>60181023311.165001</v>
      </c>
      <c r="L17" s="185">
        <f t="shared" si="5"/>
        <v>24141715685.285</v>
      </c>
      <c r="M17" s="186">
        <f t="shared" si="6"/>
        <v>12128613143.325001</v>
      </c>
      <c r="N17" s="187">
        <f t="shared" si="7"/>
        <v>12013102541.959999</v>
      </c>
      <c r="O17" s="985">
        <f t="shared" si="8"/>
        <v>11897591940.594999</v>
      </c>
      <c r="P17" s="986"/>
      <c r="Q17" s="383"/>
      <c r="R17" s="383"/>
      <c r="S17" s="452">
        <f t="shared" si="9"/>
        <v>9899</v>
      </c>
      <c r="T17" s="383"/>
    </row>
    <row r="18" spans="1:20" ht="15.75" customHeight="1">
      <c r="A18" s="82">
        <v>15</v>
      </c>
      <c r="B18" s="68" t="s">
        <v>853</v>
      </c>
      <c r="C18" s="68" t="s">
        <v>2274</v>
      </c>
      <c r="D18" s="82" t="s">
        <v>286</v>
      </c>
      <c r="E18" s="82">
        <v>1501</v>
      </c>
      <c r="F18" s="82">
        <v>608</v>
      </c>
      <c r="G18" s="82">
        <v>304</v>
      </c>
      <c r="H18" s="82">
        <v>304</v>
      </c>
      <c r="I18" s="82">
        <v>285</v>
      </c>
      <c r="J18" s="199">
        <v>3347897.6029999992</v>
      </c>
      <c r="K18" s="215">
        <f t="shared" si="4"/>
        <v>5025194302.1029987</v>
      </c>
      <c r="L18" s="185">
        <f t="shared" si="5"/>
        <v>2035521742.6239996</v>
      </c>
      <c r="M18" s="186">
        <f t="shared" si="6"/>
        <v>1017760871.3119998</v>
      </c>
      <c r="N18" s="187">
        <f t="shared" si="7"/>
        <v>1017760871.3119998</v>
      </c>
      <c r="O18" s="985">
        <f t="shared" si="8"/>
        <v>954150816.85499978</v>
      </c>
      <c r="P18" s="986"/>
      <c r="Q18" s="383"/>
      <c r="R18" s="383"/>
      <c r="S18" s="452">
        <f t="shared" si="9"/>
        <v>1501</v>
      </c>
      <c r="T18" s="383"/>
    </row>
    <row r="19" spans="1:20" ht="15.75" customHeight="1">
      <c r="A19" s="82">
        <v>16</v>
      </c>
      <c r="B19" s="68" t="s">
        <v>854</v>
      </c>
      <c r="C19" s="68" t="s">
        <v>2275</v>
      </c>
      <c r="D19" s="82" t="s">
        <v>286</v>
      </c>
      <c r="E19" s="82">
        <v>190</v>
      </c>
      <c r="F19" s="82">
        <v>57</v>
      </c>
      <c r="G19" s="82">
        <v>57</v>
      </c>
      <c r="H19" s="82">
        <v>38</v>
      </c>
      <c r="I19" s="82">
        <v>38</v>
      </c>
      <c r="J19" s="199">
        <v>4156017.8960000002</v>
      </c>
      <c r="K19" s="215">
        <f t="shared" si="4"/>
        <v>789643400.24000001</v>
      </c>
      <c r="L19" s="185">
        <f t="shared" si="5"/>
        <v>236893020.072</v>
      </c>
      <c r="M19" s="186">
        <f t="shared" si="6"/>
        <v>236893020.072</v>
      </c>
      <c r="N19" s="187">
        <f t="shared" si="7"/>
        <v>157928680.04800001</v>
      </c>
      <c r="O19" s="985">
        <f t="shared" si="8"/>
        <v>157928680.04800001</v>
      </c>
      <c r="P19" s="986"/>
      <c r="Q19" s="383"/>
      <c r="R19" s="383"/>
      <c r="S19" s="452">
        <f t="shared" si="9"/>
        <v>190</v>
      </c>
      <c r="T19" s="383"/>
    </row>
    <row r="20" spans="1:20" ht="15.75" customHeight="1">
      <c r="A20" s="82">
        <v>17</v>
      </c>
      <c r="B20" s="68" t="s">
        <v>855</v>
      </c>
      <c r="C20" s="68" t="s">
        <v>2276</v>
      </c>
      <c r="D20" s="82" t="s">
        <v>286</v>
      </c>
      <c r="E20" s="82">
        <v>616</v>
      </c>
      <c r="F20" s="82">
        <v>252</v>
      </c>
      <c r="G20" s="82">
        <v>126</v>
      </c>
      <c r="H20" s="82">
        <v>126</v>
      </c>
      <c r="I20" s="82">
        <v>112</v>
      </c>
      <c r="J20" s="199">
        <v>9579666.4110000003</v>
      </c>
      <c r="K20" s="215">
        <f t="shared" si="4"/>
        <v>5901074509.1760006</v>
      </c>
      <c r="L20" s="185">
        <f t="shared" si="5"/>
        <v>2414075935.572</v>
      </c>
      <c r="M20" s="186">
        <f t="shared" si="6"/>
        <v>1207037967.786</v>
      </c>
      <c r="N20" s="187">
        <f t="shared" si="7"/>
        <v>1207037967.786</v>
      </c>
      <c r="O20" s="985">
        <f t="shared" si="8"/>
        <v>1072922638.0320001</v>
      </c>
      <c r="P20" s="986"/>
      <c r="Q20" s="383"/>
      <c r="R20" s="383"/>
      <c r="S20" s="452">
        <f t="shared" si="9"/>
        <v>616</v>
      </c>
      <c r="T20" s="383"/>
    </row>
    <row r="21" spans="1:20" ht="15.75" customHeight="1">
      <c r="A21" s="82">
        <v>18</v>
      </c>
      <c r="B21" s="68" t="s">
        <v>856</v>
      </c>
      <c r="C21" s="68" t="s">
        <v>2277</v>
      </c>
      <c r="D21" s="82" t="s">
        <v>286</v>
      </c>
      <c r="E21" s="82">
        <v>112</v>
      </c>
      <c r="F21" s="82">
        <v>49</v>
      </c>
      <c r="G21" s="82">
        <v>21</v>
      </c>
      <c r="H21" s="82">
        <v>21</v>
      </c>
      <c r="I21" s="82">
        <v>21</v>
      </c>
      <c r="J21" s="199">
        <v>6240031.1669999994</v>
      </c>
      <c r="K21" s="215">
        <f t="shared" si="4"/>
        <v>698883490.704</v>
      </c>
      <c r="L21" s="185">
        <f t="shared" si="5"/>
        <v>305761527.18299997</v>
      </c>
      <c r="M21" s="186">
        <f t="shared" si="6"/>
        <v>131040654.50699998</v>
      </c>
      <c r="N21" s="187">
        <f t="shared" si="7"/>
        <v>131040654.50699998</v>
      </c>
      <c r="O21" s="985">
        <f t="shared" si="8"/>
        <v>131040654.50699998</v>
      </c>
      <c r="P21" s="986"/>
      <c r="Q21" s="383"/>
      <c r="R21" s="383"/>
      <c r="S21" s="452">
        <f t="shared" si="9"/>
        <v>112</v>
      </c>
      <c r="T21" s="383"/>
    </row>
    <row r="22" spans="1:20" ht="15.75" customHeight="1">
      <c r="A22" s="1240" t="s">
        <v>857</v>
      </c>
      <c r="B22" s="1182"/>
      <c r="C22" s="1182"/>
      <c r="D22" s="1182"/>
      <c r="E22" s="1182"/>
      <c r="F22" s="1182"/>
      <c r="G22" s="1182"/>
      <c r="H22" s="1182"/>
      <c r="I22" s="1241"/>
      <c r="K22" s="215">
        <f t="shared" si="4"/>
        <v>0</v>
      </c>
      <c r="P22" s="986"/>
      <c r="Q22" s="383"/>
      <c r="R22" s="383"/>
      <c r="S22" s="452"/>
      <c r="T22" s="383"/>
    </row>
    <row r="23" spans="1:20" ht="15.75" customHeight="1">
      <c r="A23" s="82">
        <v>19</v>
      </c>
      <c r="B23" s="82" t="s">
        <v>858</v>
      </c>
      <c r="C23" s="68" t="s">
        <v>2278</v>
      </c>
      <c r="D23" s="82" t="s">
        <v>286</v>
      </c>
      <c r="E23" s="82">
        <v>45</v>
      </c>
      <c r="F23" s="82">
        <f t="shared" ref="F23:F49" si="10">E23*0.4</f>
        <v>18</v>
      </c>
      <c r="G23" s="82">
        <f t="shared" ref="G23:G49" si="11">E23*0.2</f>
        <v>9</v>
      </c>
      <c r="H23" s="82">
        <f t="shared" ref="H23:H49" si="12">E23*0.2</f>
        <v>9</v>
      </c>
      <c r="I23" s="82">
        <f t="shared" ref="I23:I49" si="13">E23*0.2</f>
        <v>9</v>
      </c>
      <c r="J23" s="199">
        <v>21098575.194000002</v>
      </c>
      <c r="K23" s="215">
        <f t="shared" si="4"/>
        <v>949435883.73000014</v>
      </c>
      <c r="L23" s="185">
        <f t="shared" ref="L23:L49" si="14">J23*F23</f>
        <v>379774353.49200004</v>
      </c>
      <c r="M23" s="186">
        <f t="shared" ref="M23:M49" si="15">J23*G23</f>
        <v>189887176.74600002</v>
      </c>
      <c r="N23" s="187">
        <f t="shared" ref="N23:N49" si="16">J23*H23</f>
        <v>189887176.74600002</v>
      </c>
      <c r="O23" s="985">
        <f t="shared" ref="O23:O49" si="17">J23*I23</f>
        <v>189887176.74600002</v>
      </c>
      <c r="P23" s="986"/>
      <c r="Q23" s="383"/>
      <c r="R23" s="383"/>
      <c r="S23" s="452">
        <f t="shared" si="9"/>
        <v>45</v>
      </c>
      <c r="T23" s="383"/>
    </row>
    <row r="24" spans="1:20" ht="15.75" customHeight="1">
      <c r="A24" s="82">
        <v>20</v>
      </c>
      <c r="B24" s="88" t="s">
        <v>859</v>
      </c>
      <c r="C24" s="68" t="s">
        <v>2279</v>
      </c>
      <c r="D24" s="82" t="s">
        <v>286</v>
      </c>
      <c r="E24" s="82">
        <v>60</v>
      </c>
      <c r="F24" s="82">
        <f t="shared" si="10"/>
        <v>24</v>
      </c>
      <c r="G24" s="82">
        <f t="shared" si="11"/>
        <v>12</v>
      </c>
      <c r="H24" s="82">
        <f t="shared" si="12"/>
        <v>12</v>
      </c>
      <c r="I24" s="82">
        <f t="shared" si="13"/>
        <v>12</v>
      </c>
      <c r="J24" s="199">
        <v>1253928.446</v>
      </c>
      <c r="K24" s="215">
        <f t="shared" si="4"/>
        <v>75235706.760000005</v>
      </c>
      <c r="L24" s="185">
        <f t="shared" si="14"/>
        <v>30094282.704</v>
      </c>
      <c r="M24" s="186">
        <f t="shared" si="15"/>
        <v>15047141.352</v>
      </c>
      <c r="N24" s="187">
        <f t="shared" si="16"/>
        <v>15047141.352</v>
      </c>
      <c r="O24" s="985">
        <f t="shared" si="17"/>
        <v>15047141.352</v>
      </c>
      <c r="P24" s="986"/>
      <c r="Q24" s="383"/>
      <c r="R24" s="383"/>
      <c r="S24" s="452">
        <f t="shared" si="9"/>
        <v>60</v>
      </c>
      <c r="T24" s="383"/>
    </row>
    <row r="25" spans="1:20" ht="15.75" customHeight="1">
      <c r="A25" s="82">
        <v>21</v>
      </c>
      <c r="B25" s="82" t="s">
        <v>860</v>
      </c>
      <c r="C25" s="51" t="s">
        <v>2280</v>
      </c>
      <c r="D25" s="82" t="s">
        <v>286</v>
      </c>
      <c r="E25" s="68">
        <v>300</v>
      </c>
      <c r="F25" s="82">
        <f t="shared" si="10"/>
        <v>120</v>
      </c>
      <c r="G25" s="82">
        <f t="shared" si="11"/>
        <v>60</v>
      </c>
      <c r="H25" s="82">
        <f t="shared" si="12"/>
        <v>60</v>
      </c>
      <c r="I25" s="82">
        <f t="shared" si="13"/>
        <v>60</v>
      </c>
      <c r="J25" s="199">
        <v>182336.40700000001</v>
      </c>
      <c r="K25" s="215">
        <f t="shared" si="4"/>
        <v>54700922.100000001</v>
      </c>
      <c r="L25" s="185">
        <f t="shared" si="14"/>
        <v>21880368.84</v>
      </c>
      <c r="M25" s="186">
        <f t="shared" si="15"/>
        <v>10940184.42</v>
      </c>
      <c r="N25" s="187">
        <f t="shared" si="16"/>
        <v>10940184.42</v>
      </c>
      <c r="O25" s="985">
        <f t="shared" si="17"/>
        <v>10940184.42</v>
      </c>
      <c r="P25" s="986"/>
      <c r="Q25" s="383"/>
      <c r="R25" s="383"/>
      <c r="S25" s="452">
        <f t="shared" si="9"/>
        <v>300</v>
      </c>
      <c r="T25" s="383"/>
    </row>
    <row r="26" spans="1:20" ht="15.75" customHeight="1">
      <c r="A26" s="82">
        <v>22</v>
      </c>
      <c r="B26" s="82" t="s">
        <v>860</v>
      </c>
      <c r="C26" s="51" t="s">
        <v>2281</v>
      </c>
      <c r="D26" s="82" t="s">
        <v>286</v>
      </c>
      <c r="E26" s="82">
        <v>170</v>
      </c>
      <c r="F26" s="82">
        <f t="shared" si="10"/>
        <v>68</v>
      </c>
      <c r="G26" s="82">
        <f t="shared" si="11"/>
        <v>34</v>
      </c>
      <c r="H26" s="82">
        <f t="shared" si="12"/>
        <v>34</v>
      </c>
      <c r="I26" s="82">
        <f t="shared" si="13"/>
        <v>34</v>
      </c>
      <c r="J26" s="199">
        <v>101714.25799999999</v>
      </c>
      <c r="K26" s="215">
        <f t="shared" si="4"/>
        <v>17291423.859999999</v>
      </c>
      <c r="L26" s="185">
        <f t="shared" si="14"/>
        <v>6916569.5439999988</v>
      </c>
      <c r="M26" s="186">
        <f t="shared" si="15"/>
        <v>3458284.7719999994</v>
      </c>
      <c r="N26" s="187">
        <f t="shared" si="16"/>
        <v>3458284.7719999994</v>
      </c>
      <c r="O26" s="985">
        <f t="shared" si="17"/>
        <v>3458284.7719999994</v>
      </c>
      <c r="P26" s="986"/>
      <c r="Q26" s="383"/>
      <c r="R26" s="383"/>
      <c r="S26" s="452">
        <f t="shared" si="9"/>
        <v>170</v>
      </c>
      <c r="T26" s="383"/>
    </row>
    <row r="27" spans="1:20" ht="15.75" customHeight="1">
      <c r="A27" s="82">
        <v>23</v>
      </c>
      <c r="B27" s="82" t="s">
        <v>861</v>
      </c>
      <c r="C27" s="68" t="s">
        <v>2282</v>
      </c>
      <c r="D27" s="82" t="s">
        <v>286</v>
      </c>
      <c r="E27" s="82">
        <v>40</v>
      </c>
      <c r="F27" s="82">
        <f t="shared" si="10"/>
        <v>16</v>
      </c>
      <c r="G27" s="82">
        <f t="shared" si="11"/>
        <v>8</v>
      </c>
      <c r="H27" s="82">
        <f t="shared" si="12"/>
        <v>8</v>
      </c>
      <c r="I27" s="82">
        <f t="shared" si="13"/>
        <v>8</v>
      </c>
      <c r="J27" s="199">
        <v>1500516.2409999999</v>
      </c>
      <c r="K27" s="215">
        <f t="shared" si="4"/>
        <v>60020649.640000001</v>
      </c>
      <c r="L27" s="185">
        <f t="shared" si="14"/>
        <v>24008259.855999999</v>
      </c>
      <c r="M27" s="186">
        <f t="shared" si="15"/>
        <v>12004129.927999999</v>
      </c>
      <c r="N27" s="187">
        <f t="shared" si="16"/>
        <v>12004129.927999999</v>
      </c>
      <c r="O27" s="985">
        <f t="shared" si="17"/>
        <v>12004129.927999999</v>
      </c>
      <c r="P27" s="986"/>
      <c r="Q27" s="383"/>
      <c r="R27" s="383"/>
      <c r="S27" s="452">
        <f t="shared" si="9"/>
        <v>40</v>
      </c>
      <c r="T27" s="383"/>
    </row>
    <row r="28" spans="1:20" ht="15.75" customHeight="1">
      <c r="A28" s="82">
        <v>24</v>
      </c>
      <c r="B28" s="82" t="s">
        <v>862</v>
      </c>
      <c r="C28" s="68" t="s">
        <v>2283</v>
      </c>
      <c r="D28" s="82" t="s">
        <v>286</v>
      </c>
      <c r="E28" s="82">
        <v>40</v>
      </c>
      <c r="F28" s="82">
        <f t="shared" si="10"/>
        <v>16</v>
      </c>
      <c r="G28" s="82">
        <f t="shared" si="11"/>
        <v>8</v>
      </c>
      <c r="H28" s="82">
        <f t="shared" si="12"/>
        <v>8</v>
      </c>
      <c r="I28" s="82">
        <f t="shared" si="13"/>
        <v>8</v>
      </c>
      <c r="J28" s="199">
        <v>88884.508000000002</v>
      </c>
      <c r="K28" s="215">
        <f t="shared" si="4"/>
        <v>3555380.3200000003</v>
      </c>
      <c r="L28" s="185">
        <f t="shared" si="14"/>
        <v>1422152.128</v>
      </c>
      <c r="M28" s="186">
        <f t="shared" si="15"/>
        <v>711076.06400000001</v>
      </c>
      <c r="N28" s="187">
        <f t="shared" si="16"/>
        <v>711076.06400000001</v>
      </c>
      <c r="O28" s="985">
        <f t="shared" si="17"/>
        <v>711076.06400000001</v>
      </c>
      <c r="P28" s="986"/>
      <c r="Q28" s="383"/>
      <c r="R28" s="383"/>
      <c r="S28" s="452">
        <f t="shared" si="9"/>
        <v>40</v>
      </c>
      <c r="T28" s="383"/>
    </row>
    <row r="29" spans="1:20" ht="15.75" customHeight="1">
      <c r="A29" s="82">
        <v>25</v>
      </c>
      <c r="B29" s="82" t="s">
        <v>863</v>
      </c>
      <c r="C29" s="68" t="s">
        <v>2284</v>
      </c>
      <c r="D29" s="82" t="s">
        <v>286</v>
      </c>
      <c r="E29" s="82">
        <v>70</v>
      </c>
      <c r="F29" s="82">
        <f t="shared" si="10"/>
        <v>28</v>
      </c>
      <c r="G29" s="82">
        <f t="shared" si="11"/>
        <v>14</v>
      </c>
      <c r="H29" s="82">
        <f t="shared" si="12"/>
        <v>14</v>
      </c>
      <c r="I29" s="82">
        <f t="shared" si="13"/>
        <v>14</v>
      </c>
      <c r="J29" s="199">
        <v>385405.69</v>
      </c>
      <c r="K29" s="215">
        <f t="shared" si="4"/>
        <v>26978398.300000001</v>
      </c>
      <c r="L29" s="185">
        <f t="shared" si="14"/>
        <v>10791359.32</v>
      </c>
      <c r="M29" s="186">
        <f t="shared" si="15"/>
        <v>5395679.6600000001</v>
      </c>
      <c r="N29" s="187">
        <f t="shared" si="16"/>
        <v>5395679.6600000001</v>
      </c>
      <c r="O29" s="985">
        <f t="shared" si="17"/>
        <v>5395679.6600000001</v>
      </c>
      <c r="P29" s="986"/>
      <c r="Q29" s="383"/>
      <c r="R29" s="383"/>
      <c r="S29" s="452">
        <f t="shared" si="9"/>
        <v>70</v>
      </c>
      <c r="T29" s="383"/>
    </row>
    <row r="30" spans="1:20" ht="15.75" customHeight="1">
      <c r="A30" s="82">
        <v>26</v>
      </c>
      <c r="B30" s="82" t="s">
        <v>864</v>
      </c>
      <c r="C30" s="68" t="s">
        <v>2285</v>
      </c>
      <c r="D30" s="82" t="s">
        <v>286</v>
      </c>
      <c r="E30" s="82">
        <v>30</v>
      </c>
      <c r="F30" s="82">
        <f t="shared" si="10"/>
        <v>12</v>
      </c>
      <c r="G30" s="82">
        <f t="shared" si="11"/>
        <v>6</v>
      </c>
      <c r="H30" s="82">
        <f t="shared" si="12"/>
        <v>6</v>
      </c>
      <c r="I30" s="82">
        <f t="shared" si="13"/>
        <v>6</v>
      </c>
      <c r="J30" s="199">
        <v>1928516.7009999997</v>
      </c>
      <c r="K30" s="215">
        <f t="shared" si="4"/>
        <v>57855501.029999986</v>
      </c>
      <c r="L30" s="185">
        <f t="shared" si="14"/>
        <v>23142200.411999997</v>
      </c>
      <c r="M30" s="186">
        <f t="shared" si="15"/>
        <v>11571100.205999998</v>
      </c>
      <c r="N30" s="187">
        <f t="shared" si="16"/>
        <v>11571100.205999998</v>
      </c>
      <c r="O30" s="985">
        <f t="shared" si="17"/>
        <v>11571100.205999998</v>
      </c>
      <c r="P30" s="986"/>
      <c r="Q30" s="383"/>
      <c r="R30" s="383"/>
      <c r="S30" s="452">
        <f t="shared" si="9"/>
        <v>30</v>
      </c>
      <c r="T30" s="383"/>
    </row>
    <row r="31" spans="1:20" ht="15.75" customHeight="1">
      <c r="A31" s="82">
        <v>27</v>
      </c>
      <c r="B31" s="82" t="s">
        <v>865</v>
      </c>
      <c r="C31" s="68" t="s">
        <v>2286</v>
      </c>
      <c r="D31" s="82" t="s">
        <v>286</v>
      </c>
      <c r="E31" s="82">
        <v>360</v>
      </c>
      <c r="F31" s="82">
        <f t="shared" si="10"/>
        <v>144</v>
      </c>
      <c r="G31" s="82">
        <f t="shared" si="11"/>
        <v>72</v>
      </c>
      <c r="H31" s="82">
        <f t="shared" si="12"/>
        <v>72</v>
      </c>
      <c r="I31" s="82">
        <f t="shared" si="13"/>
        <v>72</v>
      </c>
      <c r="J31" s="199">
        <v>743612.30999999994</v>
      </c>
      <c r="K31" s="215">
        <f t="shared" si="4"/>
        <v>267700431.59999996</v>
      </c>
      <c r="L31" s="185">
        <f t="shared" si="14"/>
        <v>107080172.63999999</v>
      </c>
      <c r="M31" s="186">
        <f t="shared" si="15"/>
        <v>53540086.319999993</v>
      </c>
      <c r="N31" s="187">
        <f t="shared" si="16"/>
        <v>53540086.319999993</v>
      </c>
      <c r="O31" s="985">
        <f t="shared" si="17"/>
        <v>53540086.319999993</v>
      </c>
      <c r="P31" s="986"/>
      <c r="Q31" s="383"/>
      <c r="R31" s="383"/>
      <c r="S31" s="452">
        <f t="shared" si="9"/>
        <v>360</v>
      </c>
      <c r="T31" s="383"/>
    </row>
    <row r="32" spans="1:20" ht="15.75" customHeight="1">
      <c r="A32" s="82">
        <v>28</v>
      </c>
      <c r="B32" s="82" t="s">
        <v>866</v>
      </c>
      <c r="C32" s="68" t="s">
        <v>2287</v>
      </c>
      <c r="D32" s="82" t="s">
        <v>286</v>
      </c>
      <c r="E32" s="82">
        <v>180</v>
      </c>
      <c r="F32" s="82">
        <f t="shared" si="10"/>
        <v>72</v>
      </c>
      <c r="G32" s="82">
        <f t="shared" si="11"/>
        <v>36</v>
      </c>
      <c r="H32" s="82">
        <f t="shared" si="12"/>
        <v>36</v>
      </c>
      <c r="I32" s="82">
        <f t="shared" si="13"/>
        <v>36</v>
      </c>
      <c r="J32" s="199">
        <v>456995.69500000001</v>
      </c>
      <c r="K32" s="215">
        <f t="shared" si="4"/>
        <v>82259225.099999994</v>
      </c>
      <c r="L32" s="185">
        <f t="shared" si="14"/>
        <v>32903690.039999999</v>
      </c>
      <c r="M32" s="186">
        <f t="shared" si="15"/>
        <v>16451845.02</v>
      </c>
      <c r="N32" s="187">
        <f t="shared" si="16"/>
        <v>16451845.02</v>
      </c>
      <c r="O32" s="985">
        <f t="shared" si="17"/>
        <v>16451845.02</v>
      </c>
      <c r="P32" s="986"/>
      <c r="Q32" s="383"/>
      <c r="R32" s="383"/>
      <c r="S32" s="452">
        <f t="shared" si="9"/>
        <v>180</v>
      </c>
      <c r="T32" s="383"/>
    </row>
    <row r="33" spans="1:20" ht="15.75" customHeight="1">
      <c r="A33" s="82">
        <v>29</v>
      </c>
      <c r="B33" s="82" t="s">
        <v>867</v>
      </c>
      <c r="C33" s="51" t="s">
        <v>2288</v>
      </c>
      <c r="D33" s="82" t="s">
        <v>286</v>
      </c>
      <c r="E33" s="82">
        <v>70</v>
      </c>
      <c r="F33" s="82">
        <f t="shared" si="10"/>
        <v>28</v>
      </c>
      <c r="G33" s="82">
        <f t="shared" si="11"/>
        <v>14</v>
      </c>
      <c r="H33" s="82">
        <f t="shared" si="12"/>
        <v>14</v>
      </c>
      <c r="I33" s="82">
        <f t="shared" si="13"/>
        <v>14</v>
      </c>
      <c r="J33" s="199">
        <v>579032.277</v>
      </c>
      <c r="K33" s="215">
        <f t="shared" si="4"/>
        <v>40532259.390000001</v>
      </c>
      <c r="L33" s="185">
        <f t="shared" si="14"/>
        <v>16212903.756000001</v>
      </c>
      <c r="M33" s="186">
        <f t="shared" si="15"/>
        <v>8106451.8780000005</v>
      </c>
      <c r="N33" s="187">
        <f t="shared" si="16"/>
        <v>8106451.8780000005</v>
      </c>
      <c r="O33" s="985">
        <f t="shared" si="17"/>
        <v>8106451.8780000005</v>
      </c>
      <c r="P33" s="986"/>
      <c r="Q33" s="383"/>
      <c r="R33" s="383"/>
      <c r="S33" s="452">
        <f t="shared" si="9"/>
        <v>70</v>
      </c>
      <c r="T33" s="383"/>
    </row>
    <row r="34" spans="1:20" ht="15.75" customHeight="1">
      <c r="A34" s="82">
        <v>30</v>
      </c>
      <c r="B34" s="82" t="s">
        <v>868</v>
      </c>
      <c r="C34" s="68" t="s">
        <v>2289</v>
      </c>
      <c r="D34" s="82" t="s">
        <v>286</v>
      </c>
      <c r="E34" s="82">
        <v>30</v>
      </c>
      <c r="F34" s="82">
        <f t="shared" si="10"/>
        <v>12</v>
      </c>
      <c r="G34" s="82">
        <f t="shared" si="11"/>
        <v>6</v>
      </c>
      <c r="H34" s="82">
        <f t="shared" si="12"/>
        <v>6</v>
      </c>
      <c r="I34" s="82">
        <f t="shared" si="13"/>
        <v>6</v>
      </c>
      <c r="J34" s="199">
        <v>1607105.8039999998</v>
      </c>
      <c r="K34" s="215">
        <f t="shared" si="4"/>
        <v>48213174.11999999</v>
      </c>
      <c r="L34" s="185">
        <f t="shared" si="14"/>
        <v>19285269.647999998</v>
      </c>
      <c r="M34" s="186">
        <f t="shared" si="15"/>
        <v>9642634.8239999991</v>
      </c>
      <c r="N34" s="187">
        <f t="shared" si="16"/>
        <v>9642634.8239999991</v>
      </c>
      <c r="O34" s="985">
        <f t="shared" si="17"/>
        <v>9642634.8239999991</v>
      </c>
      <c r="P34" s="986"/>
      <c r="Q34" s="383"/>
      <c r="R34" s="383"/>
      <c r="S34" s="452">
        <f t="shared" si="9"/>
        <v>30</v>
      </c>
      <c r="T34" s="383"/>
    </row>
    <row r="35" spans="1:20" ht="15.75" customHeight="1">
      <c r="A35" s="82">
        <v>31</v>
      </c>
      <c r="B35" s="82" t="s">
        <v>869</v>
      </c>
      <c r="C35" s="68" t="s">
        <v>2290</v>
      </c>
      <c r="D35" s="82" t="s">
        <v>286</v>
      </c>
      <c r="E35" s="82">
        <v>40</v>
      </c>
      <c r="F35" s="82">
        <f t="shared" si="10"/>
        <v>16</v>
      </c>
      <c r="G35" s="82">
        <f t="shared" si="11"/>
        <v>8</v>
      </c>
      <c r="H35" s="82">
        <f t="shared" si="12"/>
        <v>8</v>
      </c>
      <c r="I35" s="82">
        <f t="shared" si="13"/>
        <v>8</v>
      </c>
      <c r="J35" s="199">
        <v>336242.08800000011</v>
      </c>
      <c r="K35" s="215">
        <f t="shared" si="4"/>
        <v>13449683.520000003</v>
      </c>
      <c r="L35" s="185">
        <f t="shared" si="14"/>
        <v>5379873.4080000017</v>
      </c>
      <c r="M35" s="186">
        <f t="shared" si="15"/>
        <v>2689936.7040000008</v>
      </c>
      <c r="N35" s="187">
        <f t="shared" si="16"/>
        <v>2689936.7040000008</v>
      </c>
      <c r="O35" s="985">
        <f t="shared" si="17"/>
        <v>2689936.7040000008</v>
      </c>
      <c r="P35" s="986"/>
      <c r="Q35" s="383"/>
      <c r="R35" s="383"/>
      <c r="S35" s="452">
        <f t="shared" si="9"/>
        <v>40</v>
      </c>
      <c r="T35" s="383"/>
    </row>
    <row r="36" spans="1:20" ht="15.75" customHeight="1">
      <c r="A36" s="82">
        <v>32</v>
      </c>
      <c r="B36" s="82" t="s">
        <v>870</v>
      </c>
      <c r="C36" s="68" t="s">
        <v>2291</v>
      </c>
      <c r="D36" s="82" t="s">
        <v>286</v>
      </c>
      <c r="E36" s="82">
        <v>40</v>
      </c>
      <c r="F36" s="82">
        <f t="shared" si="10"/>
        <v>16</v>
      </c>
      <c r="G36" s="82">
        <f t="shared" si="11"/>
        <v>8</v>
      </c>
      <c r="H36" s="82">
        <f t="shared" si="12"/>
        <v>8</v>
      </c>
      <c r="I36" s="82">
        <f t="shared" si="13"/>
        <v>8</v>
      </c>
      <c r="J36" s="199">
        <v>173304.26300000004</v>
      </c>
      <c r="K36" s="215">
        <f t="shared" si="4"/>
        <v>6932170.5200000014</v>
      </c>
      <c r="L36" s="185">
        <f t="shared" si="14"/>
        <v>2772868.2080000006</v>
      </c>
      <c r="M36" s="186">
        <f t="shared" si="15"/>
        <v>1386434.1040000003</v>
      </c>
      <c r="N36" s="187">
        <f t="shared" si="16"/>
        <v>1386434.1040000003</v>
      </c>
      <c r="O36" s="985">
        <f t="shared" si="17"/>
        <v>1386434.1040000003</v>
      </c>
      <c r="P36" s="986"/>
      <c r="Q36" s="383"/>
      <c r="R36" s="383"/>
      <c r="S36" s="452">
        <f t="shared" si="9"/>
        <v>40</v>
      </c>
      <c r="T36" s="383"/>
    </row>
    <row r="37" spans="1:20" ht="15.75" customHeight="1">
      <c r="A37" s="82">
        <v>33</v>
      </c>
      <c r="B37" s="82" t="s">
        <v>871</v>
      </c>
      <c r="C37" s="68" t="s">
        <v>2292</v>
      </c>
      <c r="D37" s="82" t="s">
        <v>286</v>
      </c>
      <c r="E37" s="82">
        <v>300</v>
      </c>
      <c r="F37" s="82">
        <f t="shared" si="10"/>
        <v>120</v>
      </c>
      <c r="G37" s="82">
        <f t="shared" si="11"/>
        <v>60</v>
      </c>
      <c r="H37" s="82">
        <f t="shared" si="12"/>
        <v>60</v>
      </c>
      <c r="I37" s="82">
        <f t="shared" si="13"/>
        <v>60</v>
      </c>
      <c r="J37" s="199">
        <v>2560407.5479999995</v>
      </c>
      <c r="K37" s="215">
        <f t="shared" si="4"/>
        <v>768122264.39999986</v>
      </c>
      <c r="L37" s="185">
        <f t="shared" si="14"/>
        <v>307248905.75999993</v>
      </c>
      <c r="M37" s="186">
        <f t="shared" si="15"/>
        <v>153624452.87999997</v>
      </c>
      <c r="N37" s="187">
        <f t="shared" si="16"/>
        <v>153624452.87999997</v>
      </c>
      <c r="O37" s="985">
        <f t="shared" si="17"/>
        <v>153624452.87999997</v>
      </c>
      <c r="P37" s="986"/>
      <c r="Q37" s="383"/>
      <c r="R37" s="383"/>
      <c r="S37" s="452">
        <f t="shared" si="9"/>
        <v>300</v>
      </c>
      <c r="T37" s="383"/>
    </row>
    <row r="38" spans="1:20" ht="15.75" customHeight="1">
      <c r="A38" s="82">
        <v>34</v>
      </c>
      <c r="B38" s="82" t="s">
        <v>872</v>
      </c>
      <c r="C38" s="68" t="s">
        <v>2293</v>
      </c>
      <c r="D38" s="82" t="s">
        <v>286</v>
      </c>
      <c r="E38" s="82">
        <v>100</v>
      </c>
      <c r="F38" s="82">
        <f t="shared" si="10"/>
        <v>40</v>
      </c>
      <c r="G38" s="82">
        <f t="shared" si="11"/>
        <v>20</v>
      </c>
      <c r="H38" s="82">
        <f t="shared" si="12"/>
        <v>20</v>
      </c>
      <c r="I38" s="82">
        <f t="shared" si="13"/>
        <v>20</v>
      </c>
      <c r="J38" s="199">
        <v>753978.74800000002</v>
      </c>
      <c r="K38" s="215">
        <f t="shared" si="4"/>
        <v>75397874.799999997</v>
      </c>
      <c r="L38" s="185">
        <f t="shared" si="14"/>
        <v>30159149.920000002</v>
      </c>
      <c r="M38" s="186">
        <f t="shared" si="15"/>
        <v>15079574.960000001</v>
      </c>
      <c r="N38" s="187">
        <f t="shared" si="16"/>
        <v>15079574.960000001</v>
      </c>
      <c r="O38" s="985">
        <f t="shared" si="17"/>
        <v>15079574.960000001</v>
      </c>
      <c r="P38" s="986"/>
      <c r="Q38" s="383"/>
      <c r="R38" s="383"/>
      <c r="S38" s="452">
        <f t="shared" si="9"/>
        <v>100</v>
      </c>
      <c r="T38" s="383"/>
    </row>
    <row r="39" spans="1:20" ht="15.75" customHeight="1">
      <c r="A39" s="82">
        <v>35</v>
      </c>
      <c r="B39" s="82" t="s">
        <v>873</v>
      </c>
      <c r="C39" s="68" t="s">
        <v>2294</v>
      </c>
      <c r="D39" s="82" t="s">
        <v>286</v>
      </c>
      <c r="E39" s="82">
        <v>150</v>
      </c>
      <c r="F39" s="82">
        <f t="shared" si="10"/>
        <v>60</v>
      </c>
      <c r="G39" s="82">
        <f t="shared" si="11"/>
        <v>30</v>
      </c>
      <c r="H39" s="82">
        <f t="shared" si="12"/>
        <v>30</v>
      </c>
      <c r="I39" s="82">
        <f t="shared" si="13"/>
        <v>30</v>
      </c>
      <c r="J39" s="199">
        <v>778765.82500000007</v>
      </c>
      <c r="K39" s="215">
        <f t="shared" si="4"/>
        <v>116814873.75000001</v>
      </c>
      <c r="L39" s="185">
        <f t="shared" si="14"/>
        <v>46725949.500000007</v>
      </c>
      <c r="M39" s="186">
        <f t="shared" si="15"/>
        <v>23362974.750000004</v>
      </c>
      <c r="N39" s="187">
        <f t="shared" si="16"/>
        <v>23362974.750000004</v>
      </c>
      <c r="O39" s="985">
        <f t="shared" si="17"/>
        <v>23362974.750000004</v>
      </c>
      <c r="P39" s="986"/>
      <c r="Q39" s="383"/>
      <c r="R39" s="383"/>
      <c r="S39" s="452">
        <f t="shared" si="9"/>
        <v>150</v>
      </c>
      <c r="T39" s="383"/>
    </row>
    <row r="40" spans="1:20" ht="15.75" customHeight="1">
      <c r="A40" s="82">
        <v>36</v>
      </c>
      <c r="B40" s="82" t="s">
        <v>874</v>
      </c>
      <c r="C40" s="68" t="s">
        <v>2295</v>
      </c>
      <c r="D40" s="82" t="s">
        <v>286</v>
      </c>
      <c r="E40" s="82">
        <v>120</v>
      </c>
      <c r="F40" s="82">
        <f t="shared" si="10"/>
        <v>48</v>
      </c>
      <c r="G40" s="82">
        <f t="shared" si="11"/>
        <v>24</v>
      </c>
      <c r="H40" s="82">
        <f t="shared" si="12"/>
        <v>24</v>
      </c>
      <c r="I40" s="82">
        <f t="shared" si="13"/>
        <v>24</v>
      </c>
      <c r="J40" s="199">
        <v>566972.31199999992</v>
      </c>
      <c r="K40" s="215">
        <f t="shared" si="4"/>
        <v>68036677.439999998</v>
      </c>
      <c r="L40" s="185">
        <f t="shared" si="14"/>
        <v>27214670.975999996</v>
      </c>
      <c r="M40" s="186">
        <f t="shared" si="15"/>
        <v>13607335.487999998</v>
      </c>
      <c r="N40" s="187">
        <f t="shared" si="16"/>
        <v>13607335.487999998</v>
      </c>
      <c r="O40" s="985">
        <f t="shared" si="17"/>
        <v>13607335.487999998</v>
      </c>
      <c r="P40" s="986"/>
      <c r="Q40" s="383"/>
      <c r="R40" s="383"/>
      <c r="S40" s="452">
        <f t="shared" si="9"/>
        <v>120</v>
      </c>
      <c r="T40" s="383"/>
    </row>
    <row r="41" spans="1:20" ht="15.75" customHeight="1">
      <c r="A41" s="82">
        <v>37</v>
      </c>
      <c r="B41" s="82" t="s">
        <v>875</v>
      </c>
      <c r="C41" s="68" t="s">
        <v>2296</v>
      </c>
      <c r="D41" s="82" t="s">
        <v>286</v>
      </c>
      <c r="E41" s="82">
        <v>50</v>
      </c>
      <c r="F41" s="82">
        <f t="shared" si="10"/>
        <v>20</v>
      </c>
      <c r="G41" s="82">
        <f t="shared" si="11"/>
        <v>10</v>
      </c>
      <c r="H41" s="82">
        <f t="shared" si="12"/>
        <v>10</v>
      </c>
      <c r="I41" s="82">
        <f t="shared" si="13"/>
        <v>10</v>
      </c>
      <c r="J41" s="199">
        <v>251001.22900000002</v>
      </c>
      <c r="K41" s="215">
        <f t="shared" si="4"/>
        <v>12550061.450000001</v>
      </c>
      <c r="L41" s="185">
        <f t="shared" si="14"/>
        <v>5020024.58</v>
      </c>
      <c r="M41" s="186">
        <f t="shared" si="15"/>
        <v>2510012.29</v>
      </c>
      <c r="N41" s="187">
        <f t="shared" si="16"/>
        <v>2510012.29</v>
      </c>
      <c r="O41" s="985">
        <f t="shared" si="17"/>
        <v>2510012.29</v>
      </c>
      <c r="P41" s="986"/>
      <c r="Q41" s="383"/>
      <c r="R41" s="383"/>
      <c r="S41" s="452">
        <f t="shared" si="9"/>
        <v>50</v>
      </c>
      <c r="T41" s="383"/>
    </row>
    <row r="42" spans="1:20" ht="15.75" customHeight="1">
      <c r="A42" s="82">
        <v>38</v>
      </c>
      <c r="B42" s="82" t="s">
        <v>876</v>
      </c>
      <c r="C42" s="68" t="s">
        <v>2297</v>
      </c>
      <c r="D42" s="82" t="s">
        <v>286</v>
      </c>
      <c r="E42" s="82">
        <v>80</v>
      </c>
      <c r="F42" s="82">
        <f t="shared" si="10"/>
        <v>32</v>
      </c>
      <c r="G42" s="82">
        <f t="shared" si="11"/>
        <v>16</v>
      </c>
      <c r="H42" s="82">
        <f t="shared" si="12"/>
        <v>16</v>
      </c>
      <c r="I42" s="82">
        <f t="shared" si="13"/>
        <v>16</v>
      </c>
      <c r="J42" s="199">
        <v>1737404.7449999999</v>
      </c>
      <c r="K42" s="215">
        <f t="shared" si="4"/>
        <v>138992379.59999999</v>
      </c>
      <c r="L42" s="185">
        <f t="shared" si="14"/>
        <v>55596951.839999996</v>
      </c>
      <c r="M42" s="186">
        <f t="shared" si="15"/>
        <v>27798475.919999998</v>
      </c>
      <c r="N42" s="187">
        <f t="shared" si="16"/>
        <v>27798475.919999998</v>
      </c>
      <c r="O42" s="985">
        <f t="shared" si="17"/>
        <v>27798475.919999998</v>
      </c>
      <c r="P42" s="986"/>
      <c r="Q42" s="383"/>
      <c r="R42" s="383"/>
      <c r="S42" s="452">
        <f t="shared" si="9"/>
        <v>80</v>
      </c>
      <c r="T42" s="383"/>
    </row>
    <row r="43" spans="1:20" ht="15.75" customHeight="1">
      <c r="A43" s="82">
        <v>39</v>
      </c>
      <c r="B43" s="82" t="s">
        <v>877</v>
      </c>
      <c r="C43" s="51" t="s">
        <v>2298</v>
      </c>
      <c r="D43" s="82" t="s">
        <v>286</v>
      </c>
      <c r="E43" s="82">
        <v>20</v>
      </c>
      <c r="F43" s="82">
        <f t="shared" si="10"/>
        <v>8</v>
      </c>
      <c r="G43" s="82">
        <f t="shared" si="11"/>
        <v>4</v>
      </c>
      <c r="H43" s="82">
        <f t="shared" si="12"/>
        <v>4</v>
      </c>
      <c r="I43" s="82">
        <f t="shared" si="13"/>
        <v>4</v>
      </c>
      <c r="J43" s="199">
        <v>467721.36599999992</v>
      </c>
      <c r="K43" s="215">
        <f t="shared" si="4"/>
        <v>9354427.3199999984</v>
      </c>
      <c r="L43" s="185">
        <f t="shared" si="14"/>
        <v>3741770.9279999994</v>
      </c>
      <c r="M43" s="186">
        <f t="shared" si="15"/>
        <v>1870885.4639999997</v>
      </c>
      <c r="N43" s="187">
        <f t="shared" si="16"/>
        <v>1870885.4639999997</v>
      </c>
      <c r="O43" s="985">
        <f t="shared" si="17"/>
        <v>1870885.4639999997</v>
      </c>
      <c r="P43" s="986"/>
      <c r="Q43" s="383"/>
      <c r="R43" s="383"/>
      <c r="S43" s="452">
        <f t="shared" si="9"/>
        <v>20</v>
      </c>
      <c r="T43" s="383"/>
    </row>
    <row r="44" spans="1:20" ht="15.75" customHeight="1">
      <c r="A44" s="82">
        <v>41</v>
      </c>
      <c r="B44" s="68" t="s">
        <v>878</v>
      </c>
      <c r="C44" s="51" t="s">
        <v>2299</v>
      </c>
      <c r="D44" s="82" t="s">
        <v>286</v>
      </c>
      <c r="E44" s="82">
        <v>400</v>
      </c>
      <c r="F44" s="82">
        <f t="shared" si="10"/>
        <v>160</v>
      </c>
      <c r="G44" s="82">
        <f t="shared" si="11"/>
        <v>80</v>
      </c>
      <c r="H44" s="82">
        <f t="shared" si="12"/>
        <v>80</v>
      </c>
      <c r="I44" s="82">
        <f t="shared" si="13"/>
        <v>80</v>
      </c>
      <c r="J44" s="199">
        <v>332906.353</v>
      </c>
      <c r="K44" s="215">
        <f t="shared" si="4"/>
        <v>133162541.2</v>
      </c>
      <c r="L44" s="185">
        <f t="shared" si="14"/>
        <v>53265016.480000004</v>
      </c>
      <c r="M44" s="186">
        <f t="shared" si="15"/>
        <v>26632508.240000002</v>
      </c>
      <c r="N44" s="187">
        <f t="shared" si="16"/>
        <v>26632508.240000002</v>
      </c>
      <c r="O44" s="985">
        <f t="shared" si="17"/>
        <v>26632508.240000002</v>
      </c>
      <c r="P44" s="986"/>
      <c r="Q44" s="383"/>
      <c r="R44" s="383"/>
      <c r="S44" s="452">
        <f t="shared" si="9"/>
        <v>400</v>
      </c>
      <c r="T44" s="383"/>
    </row>
    <row r="45" spans="1:20" ht="15.75" customHeight="1">
      <c r="A45" s="82">
        <v>42</v>
      </c>
      <c r="B45" s="224" t="s">
        <v>879</v>
      </c>
      <c r="C45" s="68" t="s">
        <v>2300</v>
      </c>
      <c r="D45" s="82" t="s">
        <v>286</v>
      </c>
      <c r="E45" s="82">
        <v>4500</v>
      </c>
      <c r="F45" s="82">
        <f t="shared" si="10"/>
        <v>1800</v>
      </c>
      <c r="G45" s="82">
        <f t="shared" si="11"/>
        <v>900</v>
      </c>
      <c r="H45" s="82">
        <f t="shared" si="12"/>
        <v>900</v>
      </c>
      <c r="I45" s="82">
        <f t="shared" si="13"/>
        <v>900</v>
      </c>
      <c r="J45" s="199">
        <v>518629.81400000001</v>
      </c>
      <c r="K45" s="215">
        <f t="shared" si="4"/>
        <v>2333834163</v>
      </c>
      <c r="L45" s="185">
        <f t="shared" si="14"/>
        <v>933533665.20000005</v>
      </c>
      <c r="M45" s="186">
        <f t="shared" si="15"/>
        <v>466766832.60000002</v>
      </c>
      <c r="N45" s="187">
        <f t="shared" si="16"/>
        <v>466766832.60000002</v>
      </c>
      <c r="O45" s="985">
        <f t="shared" si="17"/>
        <v>466766832.60000002</v>
      </c>
      <c r="P45" s="986"/>
      <c r="Q45" s="383"/>
      <c r="R45" s="383"/>
      <c r="S45" s="452">
        <f t="shared" si="9"/>
        <v>4500</v>
      </c>
      <c r="T45" s="383"/>
    </row>
    <row r="46" spans="1:20" ht="15.75" customHeight="1">
      <c r="A46" s="82">
        <v>43</v>
      </c>
      <c r="B46" s="224" t="s">
        <v>880</v>
      </c>
      <c r="C46" s="99" t="s">
        <v>2301</v>
      </c>
      <c r="D46" s="82" t="s">
        <v>286</v>
      </c>
      <c r="E46" s="82">
        <v>1800</v>
      </c>
      <c r="F46" s="82">
        <f t="shared" si="10"/>
        <v>720</v>
      </c>
      <c r="G46" s="82">
        <f t="shared" si="11"/>
        <v>360</v>
      </c>
      <c r="H46" s="82">
        <f t="shared" si="12"/>
        <v>360</v>
      </c>
      <c r="I46" s="82">
        <f t="shared" si="13"/>
        <v>360</v>
      </c>
      <c r="J46" s="199">
        <v>760598.89900000009</v>
      </c>
      <c r="K46" s="215">
        <f t="shared" si="4"/>
        <v>1369078018.2</v>
      </c>
      <c r="L46" s="185">
        <f t="shared" si="14"/>
        <v>547631207.28000009</v>
      </c>
      <c r="M46" s="186">
        <f t="shared" si="15"/>
        <v>273815603.64000005</v>
      </c>
      <c r="N46" s="187">
        <f t="shared" si="16"/>
        <v>273815603.64000005</v>
      </c>
      <c r="O46" s="985">
        <f t="shared" si="17"/>
        <v>273815603.64000005</v>
      </c>
      <c r="P46" s="986"/>
      <c r="Q46" s="383"/>
      <c r="R46" s="383"/>
      <c r="S46" s="452">
        <f t="shared" si="9"/>
        <v>1800</v>
      </c>
      <c r="T46" s="383"/>
    </row>
    <row r="47" spans="1:20" ht="30">
      <c r="A47" s="82">
        <v>44</v>
      </c>
      <c r="B47" s="224" t="s">
        <v>881</v>
      </c>
      <c r="C47" s="68" t="s">
        <v>2302</v>
      </c>
      <c r="D47" s="82" t="s">
        <v>286</v>
      </c>
      <c r="E47" s="82">
        <v>350</v>
      </c>
      <c r="F47" s="82">
        <f t="shared" si="10"/>
        <v>140</v>
      </c>
      <c r="G47" s="82">
        <f t="shared" si="11"/>
        <v>70</v>
      </c>
      <c r="H47" s="82">
        <f t="shared" si="12"/>
        <v>70</v>
      </c>
      <c r="I47" s="82">
        <f t="shared" si="13"/>
        <v>70</v>
      </c>
      <c r="J47" s="199">
        <v>3947560.1180000002</v>
      </c>
      <c r="K47" s="215">
        <f t="shared" si="4"/>
        <v>1381646041.3000002</v>
      </c>
      <c r="L47" s="185">
        <f t="shared" si="14"/>
        <v>552658416.51999998</v>
      </c>
      <c r="M47" s="186">
        <f t="shared" si="15"/>
        <v>276329208.25999999</v>
      </c>
      <c r="N47" s="187">
        <f t="shared" si="16"/>
        <v>276329208.25999999</v>
      </c>
      <c r="O47" s="985">
        <f t="shared" si="17"/>
        <v>276329208.25999999</v>
      </c>
      <c r="P47" s="986"/>
      <c r="Q47" s="383"/>
      <c r="R47" s="383"/>
      <c r="S47" s="452">
        <f t="shared" si="9"/>
        <v>350</v>
      </c>
      <c r="T47" s="383"/>
    </row>
    <row r="48" spans="1:20" ht="15.75" customHeight="1">
      <c r="A48" s="82">
        <v>45</v>
      </c>
      <c r="B48" s="224" t="s">
        <v>882</v>
      </c>
      <c r="C48" s="68" t="s">
        <v>2303</v>
      </c>
      <c r="D48" s="82" t="s">
        <v>286</v>
      </c>
      <c r="E48" s="82">
        <v>350</v>
      </c>
      <c r="F48" s="82">
        <f t="shared" si="10"/>
        <v>140</v>
      </c>
      <c r="G48" s="82">
        <f t="shared" si="11"/>
        <v>70</v>
      </c>
      <c r="H48" s="82">
        <f t="shared" si="12"/>
        <v>70</v>
      </c>
      <c r="I48" s="82">
        <f t="shared" si="13"/>
        <v>70</v>
      </c>
      <c r="J48" s="199">
        <v>1102588.7150000001</v>
      </c>
      <c r="K48" s="215">
        <f t="shared" si="4"/>
        <v>385906050.25</v>
      </c>
      <c r="L48" s="185">
        <f t="shared" si="14"/>
        <v>154362420.10000002</v>
      </c>
      <c r="M48" s="186">
        <f t="shared" si="15"/>
        <v>77181210.050000012</v>
      </c>
      <c r="N48" s="187">
        <f t="shared" si="16"/>
        <v>77181210.050000012</v>
      </c>
      <c r="O48" s="985">
        <f t="shared" si="17"/>
        <v>77181210.050000012</v>
      </c>
      <c r="P48" s="986"/>
      <c r="Q48" s="383"/>
      <c r="R48" s="383"/>
      <c r="S48" s="452">
        <f t="shared" si="9"/>
        <v>350</v>
      </c>
      <c r="T48" s="383"/>
    </row>
    <row r="49" spans="1:20" ht="15.75" customHeight="1">
      <c r="A49" s="82">
        <v>46</v>
      </c>
      <c r="B49" s="68" t="s">
        <v>883</v>
      </c>
      <c r="C49" s="68" t="s">
        <v>2304</v>
      </c>
      <c r="D49" s="82" t="s">
        <v>286</v>
      </c>
      <c r="E49" s="82">
        <v>40</v>
      </c>
      <c r="F49" s="82">
        <f t="shared" si="10"/>
        <v>16</v>
      </c>
      <c r="G49" s="82">
        <f t="shared" si="11"/>
        <v>8</v>
      </c>
      <c r="H49" s="82">
        <f t="shared" si="12"/>
        <v>8</v>
      </c>
      <c r="I49" s="82">
        <f t="shared" si="13"/>
        <v>8</v>
      </c>
      <c r="J49" s="199">
        <v>406087.24699999997</v>
      </c>
      <c r="K49" s="215">
        <f t="shared" si="4"/>
        <v>16243489.879999999</v>
      </c>
      <c r="L49" s="185">
        <f t="shared" si="14"/>
        <v>6497395.9519999996</v>
      </c>
      <c r="M49" s="186">
        <f t="shared" si="15"/>
        <v>3248697.9759999998</v>
      </c>
      <c r="N49" s="187">
        <f t="shared" si="16"/>
        <v>3248697.9759999998</v>
      </c>
      <c r="O49" s="985">
        <f t="shared" si="17"/>
        <v>3248697.9759999998</v>
      </c>
      <c r="P49" s="986"/>
      <c r="Q49" s="383"/>
      <c r="R49" s="383"/>
      <c r="S49" s="452">
        <f t="shared" si="9"/>
        <v>40</v>
      </c>
      <c r="T49" s="383"/>
    </row>
    <row r="50" spans="1:20" ht="15.75" customHeight="1">
      <c r="A50" s="1240" t="s">
        <v>884</v>
      </c>
      <c r="B50" s="1182"/>
      <c r="C50" s="1182"/>
      <c r="D50" s="1182"/>
      <c r="E50" s="1182"/>
      <c r="F50" s="1182"/>
      <c r="G50" s="1182"/>
      <c r="H50" s="1182"/>
      <c r="I50" s="1241"/>
      <c r="K50" s="215">
        <f t="shared" si="4"/>
        <v>0</v>
      </c>
      <c r="P50" s="986"/>
      <c r="Q50" s="383"/>
      <c r="R50" s="383"/>
      <c r="S50" s="452"/>
      <c r="T50" s="383"/>
    </row>
    <row r="51" spans="1:20" ht="15.75" customHeight="1">
      <c r="A51" s="82">
        <v>47</v>
      </c>
      <c r="B51" s="82" t="s">
        <v>885</v>
      </c>
      <c r="C51" s="68" t="s">
        <v>2305</v>
      </c>
      <c r="D51" s="82" t="s">
        <v>286</v>
      </c>
      <c r="E51" s="82">
        <v>123</v>
      </c>
      <c r="F51" s="82">
        <v>50</v>
      </c>
      <c r="G51" s="82">
        <v>25</v>
      </c>
      <c r="H51" s="82">
        <v>24</v>
      </c>
      <c r="I51" s="82">
        <v>24</v>
      </c>
      <c r="J51" s="199">
        <v>30777749.146000005</v>
      </c>
      <c r="K51" s="215">
        <f t="shared" si="4"/>
        <v>3785663144.9580007</v>
      </c>
      <c r="L51" s="185">
        <f t="shared" ref="L51:L80" si="18">J51*F51</f>
        <v>1538887457.3000002</v>
      </c>
      <c r="M51" s="186">
        <f t="shared" ref="M51:M80" si="19">J51*G51</f>
        <v>769443728.6500001</v>
      </c>
      <c r="N51" s="187">
        <f t="shared" ref="N51:N80" si="20">J51*H51</f>
        <v>738665979.50400019</v>
      </c>
      <c r="O51" s="985">
        <f t="shared" ref="O51:O80" si="21">J51*I51</f>
        <v>738665979.50400019</v>
      </c>
      <c r="P51" s="984" t="s">
        <v>4742</v>
      </c>
      <c r="Q51" s="400" t="s">
        <v>4808</v>
      </c>
      <c r="R51" s="452">
        <v>30</v>
      </c>
      <c r="S51" s="452">
        <f t="shared" si="9"/>
        <v>93</v>
      </c>
      <c r="T51" s="911">
        <v>732032909.77999997</v>
      </c>
    </row>
    <row r="52" spans="1:20" ht="15.75" customHeight="1">
      <c r="A52" s="82">
        <v>48</v>
      </c>
      <c r="B52" s="88" t="s">
        <v>859</v>
      </c>
      <c r="C52" s="68" t="s">
        <v>2306</v>
      </c>
      <c r="D52" s="82" t="s">
        <v>286</v>
      </c>
      <c r="E52" s="82">
        <v>130</v>
      </c>
      <c r="F52" s="82">
        <f t="shared" ref="F52:F60" si="22">E52*0.4</f>
        <v>52</v>
      </c>
      <c r="G52" s="82">
        <f t="shared" ref="G52:G60" si="23">E52*0.2</f>
        <v>26</v>
      </c>
      <c r="H52" s="82">
        <f t="shared" ref="H52:H60" si="24">E52*0.2</f>
        <v>26</v>
      </c>
      <c r="I52" s="82">
        <f t="shared" ref="I52:I60" si="25">E52*0.2</f>
        <v>26</v>
      </c>
      <c r="J52" s="199">
        <v>2086887.1350000002</v>
      </c>
      <c r="K52" s="215">
        <f t="shared" si="4"/>
        <v>271295327.55000001</v>
      </c>
      <c r="L52" s="185">
        <f t="shared" si="18"/>
        <v>108518131.02000001</v>
      </c>
      <c r="M52" s="186">
        <f t="shared" si="19"/>
        <v>54259065.510000005</v>
      </c>
      <c r="N52" s="187">
        <f t="shared" si="20"/>
        <v>54259065.510000005</v>
      </c>
      <c r="O52" s="985">
        <f t="shared" si="21"/>
        <v>54259065.510000005</v>
      </c>
      <c r="P52" s="984" t="s">
        <v>4742</v>
      </c>
      <c r="Q52" s="400" t="s">
        <v>4808</v>
      </c>
      <c r="R52" s="452">
        <v>52</v>
      </c>
      <c r="S52" s="452">
        <f t="shared" si="9"/>
        <v>78</v>
      </c>
      <c r="T52" s="911">
        <v>86035185.599999994</v>
      </c>
    </row>
    <row r="53" spans="1:20" ht="15.75" customHeight="1">
      <c r="A53" s="82">
        <v>49</v>
      </c>
      <c r="B53" s="82" t="s">
        <v>860</v>
      </c>
      <c r="C53" s="51" t="s">
        <v>2307</v>
      </c>
      <c r="D53" s="82" t="s">
        <v>286</v>
      </c>
      <c r="E53" s="82">
        <v>620</v>
      </c>
      <c r="F53" s="82">
        <f t="shared" si="22"/>
        <v>248</v>
      </c>
      <c r="G53" s="82">
        <f t="shared" si="23"/>
        <v>124</v>
      </c>
      <c r="H53" s="82">
        <f t="shared" si="24"/>
        <v>124</v>
      </c>
      <c r="I53" s="82">
        <f t="shared" si="25"/>
        <v>124</v>
      </c>
      <c r="J53" s="199">
        <v>263882.29800000001</v>
      </c>
      <c r="K53" s="215">
        <f t="shared" si="4"/>
        <v>163607024.76000002</v>
      </c>
      <c r="L53" s="185">
        <f t="shared" si="18"/>
        <v>65442809.903999999</v>
      </c>
      <c r="M53" s="186">
        <f t="shared" si="19"/>
        <v>32721404.952</v>
      </c>
      <c r="N53" s="187">
        <f t="shared" si="20"/>
        <v>32721404.952</v>
      </c>
      <c r="O53" s="985">
        <f t="shared" si="21"/>
        <v>32721404.952</v>
      </c>
      <c r="P53" s="984" t="s">
        <v>4742</v>
      </c>
      <c r="Q53" s="400" t="s">
        <v>4808</v>
      </c>
      <c r="R53" s="452">
        <v>248</v>
      </c>
      <c r="S53" s="452">
        <f t="shared" si="9"/>
        <v>372</v>
      </c>
      <c r="T53" s="911">
        <v>51879740</v>
      </c>
    </row>
    <row r="54" spans="1:20" ht="15.75" customHeight="1">
      <c r="A54" s="82">
        <v>50</v>
      </c>
      <c r="B54" s="82" t="s">
        <v>860</v>
      </c>
      <c r="C54" s="51" t="s">
        <v>2308</v>
      </c>
      <c r="D54" s="82" t="s">
        <v>286</v>
      </c>
      <c r="E54" s="82">
        <v>300</v>
      </c>
      <c r="F54" s="82">
        <f t="shared" si="22"/>
        <v>120</v>
      </c>
      <c r="G54" s="82">
        <f t="shared" si="23"/>
        <v>60</v>
      </c>
      <c r="H54" s="82">
        <f t="shared" si="24"/>
        <v>60</v>
      </c>
      <c r="I54" s="82">
        <f t="shared" si="25"/>
        <v>60</v>
      </c>
      <c r="J54" s="199">
        <v>184851.03799999997</v>
      </c>
      <c r="K54" s="215">
        <f t="shared" si="4"/>
        <v>55455311.399999991</v>
      </c>
      <c r="L54" s="185">
        <f t="shared" si="18"/>
        <v>22182124.559999995</v>
      </c>
      <c r="M54" s="186">
        <f t="shared" si="19"/>
        <v>11091062.279999997</v>
      </c>
      <c r="N54" s="187">
        <f t="shared" si="20"/>
        <v>11091062.279999997</v>
      </c>
      <c r="O54" s="985">
        <f t="shared" si="21"/>
        <v>11091062.279999997</v>
      </c>
      <c r="P54" s="984" t="s">
        <v>4742</v>
      </c>
      <c r="Q54" s="400" t="s">
        <v>4808</v>
      </c>
      <c r="R54" s="452">
        <v>120</v>
      </c>
      <c r="S54" s="452">
        <f t="shared" si="9"/>
        <v>180</v>
      </c>
      <c r="T54" s="911">
        <v>17587908</v>
      </c>
    </row>
    <row r="55" spans="1:20" ht="15.75" customHeight="1">
      <c r="A55" s="82">
        <v>51</v>
      </c>
      <c r="B55" s="82" t="s">
        <v>861</v>
      </c>
      <c r="C55" s="68" t="s">
        <v>2309</v>
      </c>
      <c r="D55" s="82" t="s">
        <v>286</v>
      </c>
      <c r="E55" s="82">
        <v>80</v>
      </c>
      <c r="F55" s="82">
        <f t="shared" si="22"/>
        <v>32</v>
      </c>
      <c r="G55" s="82">
        <f t="shared" si="23"/>
        <v>16</v>
      </c>
      <c r="H55" s="82">
        <f t="shared" si="24"/>
        <v>16</v>
      </c>
      <c r="I55" s="82">
        <f t="shared" si="25"/>
        <v>16</v>
      </c>
      <c r="J55" s="199">
        <v>2256804.344</v>
      </c>
      <c r="K55" s="215">
        <f t="shared" si="4"/>
        <v>180544347.52000001</v>
      </c>
      <c r="L55" s="185">
        <f t="shared" si="18"/>
        <v>72217739.008000001</v>
      </c>
      <c r="M55" s="186">
        <f t="shared" si="19"/>
        <v>36108869.504000001</v>
      </c>
      <c r="N55" s="187">
        <f t="shared" si="20"/>
        <v>36108869.504000001</v>
      </c>
      <c r="O55" s="985">
        <f t="shared" si="21"/>
        <v>36108869.504000001</v>
      </c>
      <c r="P55" s="984" t="s">
        <v>4742</v>
      </c>
      <c r="Q55" s="400" t="s">
        <v>4808</v>
      </c>
      <c r="R55" s="452">
        <v>32</v>
      </c>
      <c r="S55" s="452">
        <f t="shared" si="9"/>
        <v>48</v>
      </c>
      <c r="T55" s="911">
        <v>57257113.600000001</v>
      </c>
    </row>
    <row r="56" spans="1:20" ht="15.75" customHeight="1">
      <c r="A56" s="82">
        <v>52</v>
      </c>
      <c r="B56" s="82" t="s">
        <v>862</v>
      </c>
      <c r="C56" s="68" t="s">
        <v>2310</v>
      </c>
      <c r="D56" s="82" t="s">
        <v>286</v>
      </c>
      <c r="E56" s="82">
        <v>120</v>
      </c>
      <c r="F56" s="82">
        <f t="shared" si="22"/>
        <v>48</v>
      </c>
      <c r="G56" s="82">
        <f t="shared" si="23"/>
        <v>24</v>
      </c>
      <c r="H56" s="82">
        <f t="shared" si="24"/>
        <v>24</v>
      </c>
      <c r="I56" s="82">
        <f t="shared" si="25"/>
        <v>24</v>
      </c>
      <c r="J56" s="199">
        <v>115416.431</v>
      </c>
      <c r="K56" s="215">
        <f t="shared" si="4"/>
        <v>13849971.719999999</v>
      </c>
      <c r="L56" s="185">
        <f t="shared" si="18"/>
        <v>5539988.6880000001</v>
      </c>
      <c r="M56" s="186">
        <f t="shared" si="19"/>
        <v>2769994.344</v>
      </c>
      <c r="N56" s="187">
        <f t="shared" si="20"/>
        <v>2769994.344</v>
      </c>
      <c r="O56" s="985">
        <f t="shared" si="21"/>
        <v>2769994.344</v>
      </c>
      <c r="P56" s="984" t="s">
        <v>4742</v>
      </c>
      <c r="Q56" s="400" t="s">
        <v>4808</v>
      </c>
      <c r="R56" s="452">
        <v>48</v>
      </c>
      <c r="S56" s="452">
        <f t="shared" si="9"/>
        <v>72</v>
      </c>
      <c r="T56" s="911">
        <v>4391073.5999999996</v>
      </c>
    </row>
    <row r="57" spans="1:20" ht="15.75" customHeight="1">
      <c r="A57" s="82">
        <v>53</v>
      </c>
      <c r="B57" s="82" t="s">
        <v>863</v>
      </c>
      <c r="C57" s="68" t="s">
        <v>2311</v>
      </c>
      <c r="D57" s="82" t="s">
        <v>286</v>
      </c>
      <c r="E57" s="82">
        <v>250</v>
      </c>
      <c r="F57" s="82">
        <f t="shared" si="22"/>
        <v>100</v>
      </c>
      <c r="G57" s="82">
        <f t="shared" si="23"/>
        <v>50</v>
      </c>
      <c r="H57" s="82">
        <f t="shared" si="24"/>
        <v>50</v>
      </c>
      <c r="I57" s="82">
        <f t="shared" si="25"/>
        <v>50</v>
      </c>
      <c r="J57" s="199">
        <v>420199.97200000001</v>
      </c>
      <c r="K57" s="215">
        <f t="shared" si="4"/>
        <v>105049993</v>
      </c>
      <c r="L57" s="185">
        <f t="shared" si="18"/>
        <v>42019997.200000003</v>
      </c>
      <c r="M57" s="186">
        <f t="shared" si="19"/>
        <v>21009998.600000001</v>
      </c>
      <c r="N57" s="187">
        <f t="shared" si="20"/>
        <v>21009998.600000001</v>
      </c>
      <c r="O57" s="985">
        <f t="shared" si="21"/>
        <v>21009998.600000001</v>
      </c>
      <c r="P57" s="984" t="s">
        <v>4742</v>
      </c>
      <c r="Q57" s="400" t="s">
        <v>4808</v>
      </c>
      <c r="R57" s="452">
        <v>100</v>
      </c>
      <c r="S57" s="452">
        <f t="shared" si="9"/>
        <v>150</v>
      </c>
      <c r="T57" s="911">
        <v>33313420</v>
      </c>
    </row>
    <row r="58" spans="1:20" ht="15.75" customHeight="1">
      <c r="A58" s="82">
        <v>54</v>
      </c>
      <c r="B58" s="82" t="s">
        <v>864</v>
      </c>
      <c r="C58" s="68" t="s">
        <v>2312</v>
      </c>
      <c r="D58" s="82" t="s">
        <v>286</v>
      </c>
      <c r="E58" s="82">
        <v>65</v>
      </c>
      <c r="F58" s="82">
        <f t="shared" si="22"/>
        <v>26</v>
      </c>
      <c r="G58" s="82">
        <f t="shared" si="23"/>
        <v>13</v>
      </c>
      <c r="H58" s="82">
        <f t="shared" si="24"/>
        <v>13</v>
      </c>
      <c r="I58" s="82">
        <f t="shared" si="25"/>
        <v>13</v>
      </c>
      <c r="J58" s="199">
        <v>3031875.2009999999</v>
      </c>
      <c r="K58" s="215">
        <f t="shared" si="4"/>
        <v>197071888.065</v>
      </c>
      <c r="L58" s="185">
        <f t="shared" si="18"/>
        <v>78828755.225999996</v>
      </c>
      <c r="M58" s="186">
        <f t="shared" si="19"/>
        <v>39414377.612999998</v>
      </c>
      <c r="N58" s="187">
        <f t="shared" si="20"/>
        <v>39414377.612999998</v>
      </c>
      <c r="O58" s="985">
        <f t="shared" si="21"/>
        <v>39414377.612999998</v>
      </c>
      <c r="P58" s="984" t="s">
        <v>4742</v>
      </c>
      <c r="Q58" s="400" t="s">
        <v>4808</v>
      </c>
      <c r="R58" s="452">
        <v>26</v>
      </c>
      <c r="S58" s="452">
        <f t="shared" si="9"/>
        <v>39</v>
      </c>
      <c r="T58" s="911">
        <v>62497419.399999999</v>
      </c>
    </row>
    <row r="59" spans="1:20" ht="15.75" customHeight="1">
      <c r="A59" s="82">
        <v>55</v>
      </c>
      <c r="B59" s="82" t="s">
        <v>865</v>
      </c>
      <c r="C59" s="68" t="s">
        <v>2313</v>
      </c>
      <c r="D59" s="82" t="s">
        <v>286</v>
      </c>
      <c r="E59" s="82">
        <v>1400</v>
      </c>
      <c r="F59" s="82">
        <f t="shared" si="22"/>
        <v>560</v>
      </c>
      <c r="G59" s="82">
        <f t="shared" si="23"/>
        <v>280</v>
      </c>
      <c r="H59" s="82">
        <f t="shared" si="24"/>
        <v>280</v>
      </c>
      <c r="I59" s="82">
        <f t="shared" si="25"/>
        <v>280</v>
      </c>
      <c r="J59" s="199">
        <v>964437.96699999995</v>
      </c>
      <c r="K59" s="215">
        <f t="shared" si="4"/>
        <v>1350213153.8</v>
      </c>
      <c r="L59" s="185">
        <f t="shared" si="18"/>
        <v>540085261.51999998</v>
      </c>
      <c r="M59" s="186">
        <f t="shared" si="19"/>
        <v>270042630.75999999</v>
      </c>
      <c r="N59" s="187">
        <f t="shared" si="20"/>
        <v>270042630.75999999</v>
      </c>
      <c r="O59" s="985">
        <f t="shared" si="21"/>
        <v>270042630.75999999</v>
      </c>
      <c r="P59" s="984" t="s">
        <v>4742</v>
      </c>
      <c r="Q59" s="400" t="s">
        <v>4808</v>
      </c>
      <c r="R59" s="452">
        <v>300</v>
      </c>
      <c r="S59" s="452">
        <f t="shared" si="9"/>
        <v>1100</v>
      </c>
      <c r="T59" s="911">
        <v>229390440</v>
      </c>
    </row>
    <row r="60" spans="1:20" ht="15.75" customHeight="1">
      <c r="A60" s="82">
        <v>56</v>
      </c>
      <c r="B60" s="82" t="s">
        <v>866</v>
      </c>
      <c r="C60" s="68" t="s">
        <v>2314</v>
      </c>
      <c r="D60" s="82" t="s">
        <v>286</v>
      </c>
      <c r="E60" s="82">
        <v>700</v>
      </c>
      <c r="F60" s="82">
        <f t="shared" si="22"/>
        <v>280</v>
      </c>
      <c r="G60" s="82">
        <f t="shared" si="23"/>
        <v>140</v>
      </c>
      <c r="H60" s="82">
        <f t="shared" si="24"/>
        <v>140</v>
      </c>
      <c r="I60" s="82">
        <f t="shared" si="25"/>
        <v>140</v>
      </c>
      <c r="J60" s="199">
        <v>523607.75699999998</v>
      </c>
      <c r="K60" s="215">
        <f t="shared" si="4"/>
        <v>366525429.89999998</v>
      </c>
      <c r="L60" s="185">
        <f t="shared" si="18"/>
        <v>146610171.96000001</v>
      </c>
      <c r="M60" s="186">
        <f t="shared" si="19"/>
        <v>73305085.980000004</v>
      </c>
      <c r="N60" s="187">
        <f t="shared" si="20"/>
        <v>73305085.980000004</v>
      </c>
      <c r="O60" s="985">
        <f t="shared" si="21"/>
        <v>73305085.980000004</v>
      </c>
      <c r="P60" s="984" t="s">
        <v>4742</v>
      </c>
      <c r="Q60" s="400" t="s">
        <v>4808</v>
      </c>
      <c r="R60" s="452">
        <v>140</v>
      </c>
      <c r="S60" s="452">
        <f t="shared" si="9"/>
        <v>560</v>
      </c>
      <c r="T60" s="911">
        <v>58114868</v>
      </c>
    </row>
    <row r="61" spans="1:20" ht="15.75" customHeight="1">
      <c r="A61" s="82">
        <v>57</v>
      </c>
      <c r="B61" s="82" t="s">
        <v>867</v>
      </c>
      <c r="C61" s="51" t="s">
        <v>2315</v>
      </c>
      <c r="D61" s="82" t="s">
        <v>286</v>
      </c>
      <c r="E61" s="82">
        <v>246</v>
      </c>
      <c r="F61" s="82">
        <v>100</v>
      </c>
      <c r="G61" s="82">
        <v>50</v>
      </c>
      <c r="H61" s="82">
        <v>48</v>
      </c>
      <c r="I61" s="82">
        <v>48</v>
      </c>
      <c r="J61" s="199">
        <v>700247.75500000012</v>
      </c>
      <c r="K61" s="215">
        <f t="shared" si="4"/>
        <v>172260947.73000002</v>
      </c>
      <c r="L61" s="185">
        <f t="shared" si="18"/>
        <v>70024775.500000015</v>
      </c>
      <c r="M61" s="186">
        <f t="shared" si="19"/>
        <v>35012387.750000007</v>
      </c>
      <c r="N61" s="187">
        <f t="shared" si="20"/>
        <v>33611892.24000001</v>
      </c>
      <c r="O61" s="985">
        <f t="shared" si="21"/>
        <v>33611892.24000001</v>
      </c>
      <c r="P61" s="984" t="s">
        <v>4742</v>
      </c>
      <c r="Q61" s="400" t="s">
        <v>4808</v>
      </c>
      <c r="R61" s="452">
        <v>20</v>
      </c>
      <c r="S61" s="452">
        <f t="shared" si="9"/>
        <v>226</v>
      </c>
      <c r="T61" s="911">
        <v>11102286</v>
      </c>
    </row>
    <row r="62" spans="1:20" ht="15.75" customHeight="1">
      <c r="A62" s="82">
        <v>58</v>
      </c>
      <c r="B62" s="82" t="s">
        <v>868</v>
      </c>
      <c r="C62" s="68" t="s">
        <v>2316</v>
      </c>
      <c r="D62" s="82" t="s">
        <v>286</v>
      </c>
      <c r="E62" s="82">
        <v>65</v>
      </c>
      <c r="F62" s="82">
        <f>E62*0.4</f>
        <v>26</v>
      </c>
      <c r="G62" s="82">
        <f>E62*0.2</f>
        <v>13</v>
      </c>
      <c r="H62" s="82">
        <f>E62*0.2</f>
        <v>13</v>
      </c>
      <c r="I62" s="82">
        <f>E62*0.2</f>
        <v>13</v>
      </c>
      <c r="J62" s="199">
        <v>1990612.6909999999</v>
      </c>
      <c r="K62" s="215">
        <f t="shared" si="4"/>
        <v>129389824.91499999</v>
      </c>
      <c r="L62" s="185">
        <f t="shared" si="18"/>
        <v>51755929.965999998</v>
      </c>
      <c r="M62" s="186">
        <f t="shared" si="19"/>
        <v>25877964.982999999</v>
      </c>
      <c r="N62" s="187">
        <f t="shared" si="20"/>
        <v>25877964.982999999</v>
      </c>
      <c r="O62" s="985">
        <f t="shared" si="21"/>
        <v>25877964.982999999</v>
      </c>
      <c r="P62" s="984" t="s">
        <v>4742</v>
      </c>
      <c r="Q62" s="400" t="s">
        <v>4808</v>
      </c>
      <c r="R62" s="452">
        <v>26</v>
      </c>
      <c r="S62" s="452">
        <f t="shared" si="9"/>
        <v>39</v>
      </c>
      <c r="T62" s="911">
        <v>41031247.399999999</v>
      </c>
    </row>
    <row r="63" spans="1:20" ht="15.75" customHeight="1">
      <c r="A63" s="82">
        <v>59</v>
      </c>
      <c r="B63" s="82" t="s">
        <v>869</v>
      </c>
      <c r="C63" s="68" t="s">
        <v>2317</v>
      </c>
      <c r="D63" s="82" t="s">
        <v>286</v>
      </c>
      <c r="E63" s="82">
        <v>120</v>
      </c>
      <c r="F63" s="82">
        <f>E63*0.4</f>
        <v>48</v>
      </c>
      <c r="G63" s="82">
        <f>E63*0.2</f>
        <v>24</v>
      </c>
      <c r="H63" s="82">
        <f>E63*0.2</f>
        <v>24</v>
      </c>
      <c r="I63" s="82">
        <f>E63*0.2</f>
        <v>24</v>
      </c>
      <c r="J63" s="199">
        <v>562456.24000000011</v>
      </c>
      <c r="K63" s="215">
        <f t="shared" si="4"/>
        <v>67494748.800000012</v>
      </c>
      <c r="L63" s="185">
        <f t="shared" si="18"/>
        <v>26997899.520000003</v>
      </c>
      <c r="M63" s="186">
        <f t="shared" si="19"/>
        <v>13498949.760000002</v>
      </c>
      <c r="N63" s="187">
        <f t="shared" si="20"/>
        <v>13498949.760000002</v>
      </c>
      <c r="O63" s="985">
        <f t="shared" si="21"/>
        <v>13498949.760000002</v>
      </c>
      <c r="P63" s="984" t="s">
        <v>4742</v>
      </c>
      <c r="Q63" s="400" t="s">
        <v>4808</v>
      </c>
      <c r="R63" s="452">
        <v>24</v>
      </c>
      <c r="S63" s="452">
        <f t="shared" si="9"/>
        <v>96</v>
      </c>
      <c r="T63" s="911">
        <v>10773088.08</v>
      </c>
    </row>
    <row r="64" spans="1:20" ht="15.75" customHeight="1">
      <c r="A64" s="82">
        <v>60</v>
      </c>
      <c r="B64" s="82" t="s">
        <v>886</v>
      </c>
      <c r="C64" s="68" t="s">
        <v>2318</v>
      </c>
      <c r="D64" s="82" t="s">
        <v>286</v>
      </c>
      <c r="E64" s="82">
        <v>200</v>
      </c>
      <c r="F64" s="82">
        <f>E64*0.4</f>
        <v>80</v>
      </c>
      <c r="G64" s="82">
        <f>E64*0.2</f>
        <v>40</v>
      </c>
      <c r="H64" s="82">
        <f>E64*0.2</f>
        <v>40</v>
      </c>
      <c r="I64" s="82">
        <f>E64*0.2</f>
        <v>40</v>
      </c>
      <c r="J64" s="199">
        <v>2162223.4270000006</v>
      </c>
      <c r="K64" s="215">
        <f t="shared" si="4"/>
        <v>432444685.4000001</v>
      </c>
      <c r="L64" s="185">
        <f t="shared" si="18"/>
        <v>172977874.16000006</v>
      </c>
      <c r="M64" s="186">
        <f t="shared" si="19"/>
        <v>86488937.080000028</v>
      </c>
      <c r="N64" s="187">
        <f t="shared" si="20"/>
        <v>86488937.080000028</v>
      </c>
      <c r="O64" s="985">
        <f t="shared" si="21"/>
        <v>86488937.080000028</v>
      </c>
      <c r="P64" s="984" t="s">
        <v>4742</v>
      </c>
      <c r="Q64" s="400" t="s">
        <v>4808</v>
      </c>
      <c r="R64" s="452">
        <v>80</v>
      </c>
      <c r="S64" s="452">
        <f t="shared" si="9"/>
        <v>120</v>
      </c>
      <c r="T64" s="911">
        <v>137135876.80000001</v>
      </c>
    </row>
    <row r="65" spans="1:20" ht="15.75" customHeight="1">
      <c r="A65" s="82">
        <v>61</v>
      </c>
      <c r="B65" s="82" t="s">
        <v>887</v>
      </c>
      <c r="C65" s="68" t="s">
        <v>2319</v>
      </c>
      <c r="D65" s="82" t="s">
        <v>286</v>
      </c>
      <c r="E65" s="82">
        <v>1200</v>
      </c>
      <c r="F65" s="82">
        <f>E65*0.4</f>
        <v>480</v>
      </c>
      <c r="G65" s="82">
        <f>E65*0.2</f>
        <v>240</v>
      </c>
      <c r="H65" s="82">
        <f>E65*0.2</f>
        <v>240</v>
      </c>
      <c r="I65" s="82">
        <f>E65*0.2</f>
        <v>240</v>
      </c>
      <c r="J65" s="199">
        <v>767988.83499999996</v>
      </c>
      <c r="K65" s="215">
        <f t="shared" si="4"/>
        <v>921586602</v>
      </c>
      <c r="L65" s="185">
        <f t="shared" si="18"/>
        <v>368634640.79999995</v>
      </c>
      <c r="M65" s="186">
        <f t="shared" si="19"/>
        <v>184317320.39999998</v>
      </c>
      <c r="N65" s="187">
        <f t="shared" si="20"/>
        <v>184317320.39999998</v>
      </c>
      <c r="O65" s="985">
        <f t="shared" si="21"/>
        <v>184317320.39999998</v>
      </c>
      <c r="P65" s="984" t="s">
        <v>4742</v>
      </c>
      <c r="Q65" s="400" t="s">
        <v>4808</v>
      </c>
      <c r="R65" s="452">
        <v>300</v>
      </c>
      <c r="S65" s="452">
        <f t="shared" si="9"/>
        <v>900</v>
      </c>
      <c r="T65" s="911">
        <v>182666403</v>
      </c>
    </row>
    <row r="66" spans="1:20" ht="15.75" customHeight="1">
      <c r="A66" s="82">
        <v>62</v>
      </c>
      <c r="B66" s="82" t="s">
        <v>870</v>
      </c>
      <c r="C66" s="68" t="s">
        <v>2320</v>
      </c>
      <c r="D66" s="82" t="s">
        <v>286</v>
      </c>
      <c r="E66" s="82">
        <v>120</v>
      </c>
      <c r="F66" s="82">
        <f>E66*0.4</f>
        <v>48</v>
      </c>
      <c r="G66" s="82">
        <f>E66*0.2</f>
        <v>24</v>
      </c>
      <c r="H66" s="82">
        <f>E66*0.2</f>
        <v>24</v>
      </c>
      <c r="I66" s="82">
        <f>E66*0.2</f>
        <v>24</v>
      </c>
      <c r="J66" s="199">
        <v>196397.81300000002</v>
      </c>
      <c r="K66" s="215">
        <f t="shared" si="4"/>
        <v>23567737.560000002</v>
      </c>
      <c r="L66" s="185">
        <f t="shared" si="18"/>
        <v>9427095.0240000002</v>
      </c>
      <c r="M66" s="186">
        <f t="shared" si="19"/>
        <v>4713547.5120000001</v>
      </c>
      <c r="N66" s="187">
        <f t="shared" si="20"/>
        <v>4713547.5120000001</v>
      </c>
      <c r="O66" s="985">
        <f t="shared" si="21"/>
        <v>4713547.5120000001</v>
      </c>
      <c r="P66" s="984" t="s">
        <v>4742</v>
      </c>
      <c r="Q66" s="400" t="s">
        <v>4808</v>
      </c>
      <c r="R66" s="452">
        <v>28</v>
      </c>
      <c r="S66" s="452">
        <f t="shared" si="9"/>
        <v>92</v>
      </c>
      <c r="T66" s="911">
        <v>4360910.4000000004</v>
      </c>
    </row>
    <row r="67" spans="1:20" ht="15.75" customHeight="1">
      <c r="A67" s="82">
        <v>63</v>
      </c>
      <c r="B67" s="82" t="s">
        <v>871</v>
      </c>
      <c r="C67" s="68" t="s">
        <v>2321</v>
      </c>
      <c r="D67" s="82" t="s">
        <v>286</v>
      </c>
      <c r="E67" s="82">
        <v>987</v>
      </c>
      <c r="F67" s="82">
        <v>395</v>
      </c>
      <c r="G67" s="82">
        <v>200</v>
      </c>
      <c r="H67" s="82">
        <v>196</v>
      </c>
      <c r="I67" s="82">
        <v>196</v>
      </c>
      <c r="J67" s="199">
        <v>2646469.5109999995</v>
      </c>
      <c r="K67" s="215">
        <f t="shared" si="4"/>
        <v>2612065407.3569994</v>
      </c>
      <c r="L67" s="185">
        <f t="shared" si="18"/>
        <v>1045355456.8449998</v>
      </c>
      <c r="M67" s="186">
        <f t="shared" si="19"/>
        <v>529293902.19999987</v>
      </c>
      <c r="N67" s="187">
        <f t="shared" si="20"/>
        <v>518708024.1559999</v>
      </c>
      <c r="O67" s="985">
        <f t="shared" si="21"/>
        <v>518708024.1559999</v>
      </c>
      <c r="P67" s="984" t="s">
        <v>4742</v>
      </c>
      <c r="Q67" s="400" t="s">
        <v>4808</v>
      </c>
      <c r="R67" s="452">
        <v>300</v>
      </c>
      <c r="S67" s="452">
        <f t="shared" si="9"/>
        <v>687</v>
      </c>
      <c r="T67" s="911">
        <v>629446593</v>
      </c>
    </row>
    <row r="68" spans="1:20" ht="15.75" customHeight="1">
      <c r="A68" s="82">
        <v>64</v>
      </c>
      <c r="B68" s="82" t="s">
        <v>872</v>
      </c>
      <c r="C68" s="68" t="s">
        <v>2322</v>
      </c>
      <c r="D68" s="82" t="s">
        <v>286</v>
      </c>
      <c r="E68" s="82">
        <v>320</v>
      </c>
      <c r="F68" s="82">
        <f t="shared" ref="F68:F80" si="26">E68*0.4</f>
        <v>128</v>
      </c>
      <c r="G68" s="82">
        <f t="shared" ref="G68:G80" si="27">E68*0.2</f>
        <v>64</v>
      </c>
      <c r="H68" s="82">
        <f t="shared" ref="H68:H80" si="28">E68*0.2</f>
        <v>64</v>
      </c>
      <c r="I68" s="82">
        <f t="shared" ref="I68:I80" si="29">E68*0.2</f>
        <v>64</v>
      </c>
      <c r="J68" s="199">
        <v>963616.8629999999</v>
      </c>
      <c r="K68" s="215">
        <f t="shared" ref="K68:K131" si="30">J68*E68</f>
        <v>308357396.15999997</v>
      </c>
      <c r="L68" s="185">
        <f t="shared" si="18"/>
        <v>123342958.46399999</v>
      </c>
      <c r="M68" s="186">
        <f t="shared" si="19"/>
        <v>61671479.231999993</v>
      </c>
      <c r="N68" s="187">
        <f t="shared" si="20"/>
        <v>61671479.231999993</v>
      </c>
      <c r="O68" s="985">
        <f t="shared" si="21"/>
        <v>61671479.231999993</v>
      </c>
      <c r="P68" s="984" t="s">
        <v>4742</v>
      </c>
      <c r="Q68" s="400" t="s">
        <v>4808</v>
      </c>
      <c r="R68" s="452">
        <v>128</v>
      </c>
      <c r="S68" s="452">
        <f t="shared" si="9"/>
        <v>192</v>
      </c>
      <c r="T68" s="911">
        <v>97789317.120000005</v>
      </c>
    </row>
    <row r="69" spans="1:20" ht="15.75" customHeight="1">
      <c r="A69" s="82">
        <v>65</v>
      </c>
      <c r="B69" s="82" t="s">
        <v>873</v>
      </c>
      <c r="C69" s="68" t="s">
        <v>2323</v>
      </c>
      <c r="D69" s="82" t="s">
        <v>286</v>
      </c>
      <c r="E69" s="82">
        <v>600</v>
      </c>
      <c r="F69" s="82">
        <f t="shared" si="26"/>
        <v>240</v>
      </c>
      <c r="G69" s="82">
        <f t="shared" si="27"/>
        <v>120</v>
      </c>
      <c r="H69" s="82">
        <f t="shared" si="28"/>
        <v>120</v>
      </c>
      <c r="I69" s="82">
        <f t="shared" si="29"/>
        <v>120</v>
      </c>
      <c r="J69" s="199">
        <v>1251054.5820000002</v>
      </c>
      <c r="K69" s="215">
        <f t="shared" si="30"/>
        <v>750632749.20000005</v>
      </c>
      <c r="L69" s="185">
        <f t="shared" si="18"/>
        <v>300253099.68000007</v>
      </c>
      <c r="M69" s="186">
        <f t="shared" si="19"/>
        <v>150126549.84000003</v>
      </c>
      <c r="N69" s="187">
        <f t="shared" si="20"/>
        <v>150126549.84000003</v>
      </c>
      <c r="O69" s="985">
        <f t="shared" si="21"/>
        <v>150126549.84000003</v>
      </c>
      <c r="P69" s="984" t="s">
        <v>4742</v>
      </c>
      <c r="Q69" s="400" t="s">
        <v>4808</v>
      </c>
      <c r="R69" s="452">
        <v>140</v>
      </c>
      <c r="S69" s="452">
        <f t="shared" ref="S69:S132" si="31">F69+G69+H69+I69-R69</f>
        <v>460</v>
      </c>
      <c r="T69" s="911">
        <v>138860568</v>
      </c>
    </row>
    <row r="70" spans="1:20" ht="15.75" customHeight="1">
      <c r="A70" s="82">
        <v>66</v>
      </c>
      <c r="B70" s="82" t="s">
        <v>874</v>
      </c>
      <c r="C70" s="68" t="s">
        <v>2324</v>
      </c>
      <c r="D70" s="82" t="s">
        <v>286</v>
      </c>
      <c r="E70" s="82">
        <v>220</v>
      </c>
      <c r="F70" s="82">
        <f t="shared" si="26"/>
        <v>88</v>
      </c>
      <c r="G70" s="82">
        <f t="shared" si="27"/>
        <v>44</v>
      </c>
      <c r="H70" s="82">
        <f t="shared" si="28"/>
        <v>44</v>
      </c>
      <c r="I70" s="82">
        <f t="shared" si="29"/>
        <v>44</v>
      </c>
      <c r="J70" s="199">
        <v>957048.03100000008</v>
      </c>
      <c r="K70" s="215">
        <f t="shared" si="30"/>
        <v>210550566.82000002</v>
      </c>
      <c r="L70" s="185">
        <f t="shared" si="18"/>
        <v>84220226.728</v>
      </c>
      <c r="M70" s="186">
        <f t="shared" si="19"/>
        <v>42110113.364</v>
      </c>
      <c r="N70" s="187">
        <f t="shared" si="20"/>
        <v>42110113.364</v>
      </c>
      <c r="O70" s="985">
        <f t="shared" si="21"/>
        <v>42110113.364</v>
      </c>
      <c r="P70" s="984" t="s">
        <v>4742</v>
      </c>
      <c r="Q70" s="400" t="s">
        <v>4808</v>
      </c>
      <c r="R70" s="452">
        <v>88</v>
      </c>
      <c r="S70" s="452">
        <f t="shared" si="31"/>
        <v>132</v>
      </c>
      <c r="T70" s="911">
        <v>66768489.039999999</v>
      </c>
    </row>
    <row r="71" spans="1:20" ht="15.75" customHeight="1">
      <c r="A71" s="82">
        <v>67</v>
      </c>
      <c r="B71" s="82" t="s">
        <v>875</v>
      </c>
      <c r="C71" s="68" t="s">
        <v>2325</v>
      </c>
      <c r="D71" s="82" t="s">
        <v>286</v>
      </c>
      <c r="E71" s="82">
        <v>120</v>
      </c>
      <c r="F71" s="82">
        <f t="shared" si="26"/>
        <v>48</v>
      </c>
      <c r="G71" s="82">
        <f t="shared" si="27"/>
        <v>24</v>
      </c>
      <c r="H71" s="82">
        <f t="shared" si="28"/>
        <v>24</v>
      </c>
      <c r="I71" s="82">
        <f t="shared" si="29"/>
        <v>24</v>
      </c>
      <c r="J71" s="199">
        <v>564560.31900000002</v>
      </c>
      <c r="K71" s="215">
        <f t="shared" si="30"/>
        <v>67747238.280000001</v>
      </c>
      <c r="L71" s="185">
        <f t="shared" si="18"/>
        <v>27098895.311999999</v>
      </c>
      <c r="M71" s="186">
        <f t="shared" si="19"/>
        <v>13549447.655999999</v>
      </c>
      <c r="N71" s="187">
        <f t="shared" si="20"/>
        <v>13549447.655999999</v>
      </c>
      <c r="O71" s="985">
        <f t="shared" si="21"/>
        <v>13549447.655999999</v>
      </c>
      <c r="P71" s="984" t="s">
        <v>4742</v>
      </c>
      <c r="Q71" s="400" t="s">
        <v>4808</v>
      </c>
      <c r="R71" s="452">
        <v>48</v>
      </c>
      <c r="S71" s="452">
        <f t="shared" si="31"/>
        <v>72</v>
      </c>
      <c r="T71" s="911">
        <v>21483221.760000002</v>
      </c>
    </row>
    <row r="72" spans="1:20" ht="15.75" customHeight="1">
      <c r="A72" s="82">
        <v>68</v>
      </c>
      <c r="B72" s="82" t="s">
        <v>876</v>
      </c>
      <c r="C72" s="68" t="s">
        <v>2326</v>
      </c>
      <c r="D72" s="82" t="s">
        <v>286</v>
      </c>
      <c r="E72" s="82">
        <v>130</v>
      </c>
      <c r="F72" s="82">
        <f t="shared" si="26"/>
        <v>52</v>
      </c>
      <c r="G72" s="82">
        <f t="shared" si="27"/>
        <v>26</v>
      </c>
      <c r="H72" s="82">
        <f t="shared" si="28"/>
        <v>26</v>
      </c>
      <c r="I72" s="82">
        <f t="shared" si="29"/>
        <v>26</v>
      </c>
      <c r="J72" s="199">
        <v>2432212.6860000007</v>
      </c>
      <c r="K72" s="215">
        <f t="shared" si="30"/>
        <v>316187649.18000007</v>
      </c>
      <c r="L72" s="185">
        <f t="shared" si="18"/>
        <v>126475059.67200004</v>
      </c>
      <c r="M72" s="186">
        <f t="shared" si="19"/>
        <v>63237529.836000018</v>
      </c>
      <c r="N72" s="187">
        <f t="shared" si="20"/>
        <v>63237529.836000018</v>
      </c>
      <c r="O72" s="985">
        <f t="shared" si="21"/>
        <v>63237529.836000018</v>
      </c>
      <c r="P72" s="984" t="s">
        <v>4742</v>
      </c>
      <c r="Q72" s="400" t="s">
        <v>4808</v>
      </c>
      <c r="R72" s="452">
        <v>52</v>
      </c>
      <c r="S72" s="452">
        <f t="shared" si="31"/>
        <v>78</v>
      </c>
      <c r="T72" s="911">
        <v>100272084.64</v>
      </c>
    </row>
    <row r="73" spans="1:20" ht="15.75" customHeight="1">
      <c r="A73" s="82">
        <v>69</v>
      </c>
      <c r="B73" s="82" t="s">
        <v>877</v>
      </c>
      <c r="C73" s="68" t="s">
        <v>2298</v>
      </c>
      <c r="D73" s="82" t="s">
        <v>286</v>
      </c>
      <c r="E73" s="82">
        <v>60</v>
      </c>
      <c r="F73" s="82">
        <f t="shared" si="26"/>
        <v>24</v>
      </c>
      <c r="G73" s="82">
        <f t="shared" si="27"/>
        <v>12</v>
      </c>
      <c r="H73" s="82">
        <f t="shared" si="28"/>
        <v>12</v>
      </c>
      <c r="I73" s="82">
        <f t="shared" si="29"/>
        <v>12</v>
      </c>
      <c r="J73" s="199">
        <v>467721.36599999992</v>
      </c>
      <c r="K73" s="215">
        <f t="shared" si="30"/>
        <v>28063281.959999993</v>
      </c>
      <c r="L73" s="185">
        <f t="shared" si="18"/>
        <v>11225312.783999998</v>
      </c>
      <c r="M73" s="186">
        <f t="shared" si="19"/>
        <v>5612656.3919999991</v>
      </c>
      <c r="N73" s="187">
        <f t="shared" si="20"/>
        <v>5612656.3919999991</v>
      </c>
      <c r="O73" s="985">
        <f t="shared" si="21"/>
        <v>5612656.3919999991</v>
      </c>
      <c r="P73" s="984" t="s">
        <v>4742</v>
      </c>
      <c r="Q73" s="400" t="s">
        <v>4808</v>
      </c>
      <c r="R73" s="452">
        <v>24</v>
      </c>
      <c r="S73" s="452">
        <f t="shared" si="31"/>
        <v>36</v>
      </c>
      <c r="T73" s="911">
        <v>8900191.6799999997</v>
      </c>
    </row>
    <row r="74" spans="1:20" ht="15.75" customHeight="1">
      <c r="A74" s="82">
        <v>70</v>
      </c>
      <c r="B74" s="68" t="s">
        <v>878</v>
      </c>
      <c r="C74" s="51" t="s">
        <v>2327</v>
      </c>
      <c r="D74" s="82" t="s">
        <v>286</v>
      </c>
      <c r="E74" s="82">
        <v>1200</v>
      </c>
      <c r="F74" s="82">
        <f t="shared" si="26"/>
        <v>480</v>
      </c>
      <c r="G74" s="82">
        <f t="shared" si="27"/>
        <v>240</v>
      </c>
      <c r="H74" s="82">
        <f t="shared" si="28"/>
        <v>240</v>
      </c>
      <c r="I74" s="82">
        <f t="shared" si="29"/>
        <v>240</v>
      </c>
      <c r="J74" s="199">
        <v>338756.71899999998</v>
      </c>
      <c r="K74" s="215">
        <f t="shared" si="30"/>
        <v>406508062.79999995</v>
      </c>
      <c r="L74" s="185">
        <f t="shared" si="18"/>
        <v>162603225.12</v>
      </c>
      <c r="M74" s="186">
        <f t="shared" si="19"/>
        <v>81301612.560000002</v>
      </c>
      <c r="N74" s="187">
        <f t="shared" si="20"/>
        <v>81301612.560000002</v>
      </c>
      <c r="O74" s="985">
        <f t="shared" si="21"/>
        <v>81301612.560000002</v>
      </c>
      <c r="P74" s="984" t="s">
        <v>4742</v>
      </c>
      <c r="Q74" s="400" t="s">
        <v>4808</v>
      </c>
      <c r="R74" s="452">
        <v>240</v>
      </c>
      <c r="S74" s="452">
        <f t="shared" si="31"/>
        <v>960</v>
      </c>
      <c r="T74" s="911">
        <v>64449664.799999997</v>
      </c>
    </row>
    <row r="75" spans="1:20" ht="15.75" customHeight="1">
      <c r="A75" s="82">
        <v>71</v>
      </c>
      <c r="B75" s="224" t="s">
        <v>879</v>
      </c>
      <c r="C75" s="68" t="s">
        <v>2328</v>
      </c>
      <c r="D75" s="82" t="s">
        <v>286</v>
      </c>
      <c r="E75" s="82">
        <v>18500</v>
      </c>
      <c r="F75" s="82">
        <f t="shared" si="26"/>
        <v>7400</v>
      </c>
      <c r="G75" s="82">
        <f t="shared" si="27"/>
        <v>3700</v>
      </c>
      <c r="H75" s="82">
        <f t="shared" si="28"/>
        <v>3700</v>
      </c>
      <c r="I75" s="82">
        <f t="shared" si="29"/>
        <v>3700</v>
      </c>
      <c r="J75" s="199">
        <v>574054.33400000003</v>
      </c>
      <c r="K75" s="215">
        <f t="shared" si="30"/>
        <v>10620005179</v>
      </c>
      <c r="L75" s="185">
        <f t="shared" si="18"/>
        <v>4248002071.6000004</v>
      </c>
      <c r="M75" s="186">
        <f t="shared" si="19"/>
        <v>2124001035.8000002</v>
      </c>
      <c r="N75" s="187">
        <f t="shared" si="20"/>
        <v>2124001035.8000002</v>
      </c>
      <c r="O75" s="985">
        <f t="shared" si="21"/>
        <v>2124001035.8000002</v>
      </c>
      <c r="P75" s="984" t="s">
        <v>4742</v>
      </c>
      <c r="Q75" s="400" t="s">
        <v>4808</v>
      </c>
      <c r="R75" s="452">
        <v>1500</v>
      </c>
      <c r="S75" s="452">
        <f t="shared" si="31"/>
        <v>17000</v>
      </c>
      <c r="T75" s="911">
        <v>682662810</v>
      </c>
    </row>
    <row r="76" spans="1:20" ht="15.75" customHeight="1">
      <c r="A76" s="82">
        <v>72</v>
      </c>
      <c r="B76" s="224" t="s">
        <v>880</v>
      </c>
      <c r="C76" s="99" t="s">
        <v>2329</v>
      </c>
      <c r="D76" s="82" t="s">
        <v>286</v>
      </c>
      <c r="E76" s="82">
        <v>6200</v>
      </c>
      <c r="F76" s="82">
        <f t="shared" si="26"/>
        <v>2480</v>
      </c>
      <c r="G76" s="82">
        <f t="shared" si="27"/>
        <v>1240</v>
      </c>
      <c r="H76" s="82">
        <f t="shared" si="28"/>
        <v>1240</v>
      </c>
      <c r="I76" s="82">
        <f t="shared" si="29"/>
        <v>1240</v>
      </c>
      <c r="J76" s="199">
        <v>933903.16200000001</v>
      </c>
      <c r="K76" s="215">
        <f t="shared" si="30"/>
        <v>5790199604.3999996</v>
      </c>
      <c r="L76" s="185">
        <f t="shared" si="18"/>
        <v>2316079841.7600002</v>
      </c>
      <c r="M76" s="186">
        <f t="shared" si="19"/>
        <v>1158039920.8800001</v>
      </c>
      <c r="N76" s="187">
        <f t="shared" si="20"/>
        <v>1158039920.8800001</v>
      </c>
      <c r="O76" s="985">
        <f t="shared" si="21"/>
        <v>1158039920.8800001</v>
      </c>
      <c r="P76" s="984" t="s">
        <v>4742</v>
      </c>
      <c r="Q76" s="400" t="s">
        <v>4808</v>
      </c>
      <c r="R76" s="452">
        <v>500</v>
      </c>
      <c r="S76" s="452">
        <f t="shared" si="31"/>
        <v>5700</v>
      </c>
      <c r="T76" s="911">
        <v>370185550</v>
      </c>
    </row>
    <row r="77" spans="1:20" ht="30">
      <c r="A77" s="82">
        <v>73</v>
      </c>
      <c r="B77" s="224" t="s">
        <v>881</v>
      </c>
      <c r="C77" s="68" t="s">
        <v>2330</v>
      </c>
      <c r="D77" s="82" t="s">
        <v>286</v>
      </c>
      <c r="E77" s="82">
        <v>1200</v>
      </c>
      <c r="F77" s="82">
        <f t="shared" si="26"/>
        <v>480</v>
      </c>
      <c r="G77" s="82">
        <f t="shared" si="27"/>
        <v>240</v>
      </c>
      <c r="H77" s="82">
        <f t="shared" si="28"/>
        <v>240</v>
      </c>
      <c r="I77" s="82">
        <f t="shared" si="29"/>
        <v>240</v>
      </c>
      <c r="J77" s="199">
        <v>4717601.7130000005</v>
      </c>
      <c r="K77" s="215">
        <f t="shared" si="30"/>
        <v>5661122055.6000004</v>
      </c>
      <c r="L77" s="185">
        <f t="shared" si="18"/>
        <v>2264448822.2400002</v>
      </c>
      <c r="M77" s="186">
        <f t="shared" si="19"/>
        <v>1132224411.1200001</v>
      </c>
      <c r="N77" s="187">
        <f t="shared" si="20"/>
        <v>1132224411.1200001</v>
      </c>
      <c r="O77" s="985">
        <f t="shared" si="21"/>
        <v>1132224411.1200001</v>
      </c>
      <c r="P77" s="984" t="s">
        <v>4742</v>
      </c>
      <c r="Q77" s="400" t="s">
        <v>4808</v>
      </c>
      <c r="R77" s="452">
        <v>150</v>
      </c>
      <c r="S77" s="452">
        <f t="shared" si="31"/>
        <v>1050</v>
      </c>
      <c r="T77" s="911">
        <v>561032761.5</v>
      </c>
    </row>
    <row r="78" spans="1:20" ht="15.75" customHeight="1">
      <c r="A78" s="82">
        <v>74</v>
      </c>
      <c r="B78" s="224" t="s">
        <v>882</v>
      </c>
      <c r="C78" s="68" t="s">
        <v>2331</v>
      </c>
      <c r="D78" s="82" t="s">
        <v>286</v>
      </c>
      <c r="E78" s="82">
        <v>1200</v>
      </c>
      <c r="F78" s="82">
        <f t="shared" si="26"/>
        <v>480</v>
      </c>
      <c r="G78" s="82">
        <f t="shared" si="27"/>
        <v>240</v>
      </c>
      <c r="H78" s="82">
        <f t="shared" si="28"/>
        <v>240</v>
      </c>
      <c r="I78" s="82">
        <f t="shared" si="29"/>
        <v>240</v>
      </c>
      <c r="J78" s="199">
        <v>1303143.3669999999</v>
      </c>
      <c r="K78" s="215">
        <f t="shared" si="30"/>
        <v>1563772040.3999999</v>
      </c>
      <c r="L78" s="185">
        <f t="shared" si="18"/>
        <v>625508816.15999997</v>
      </c>
      <c r="M78" s="186">
        <f t="shared" si="19"/>
        <v>312754408.07999998</v>
      </c>
      <c r="N78" s="187">
        <f t="shared" si="20"/>
        <v>312754408.07999998</v>
      </c>
      <c r="O78" s="985">
        <f t="shared" si="21"/>
        <v>312754408.07999998</v>
      </c>
      <c r="P78" s="984" t="s">
        <v>4742</v>
      </c>
      <c r="Q78" s="400" t="s">
        <v>4808</v>
      </c>
      <c r="R78" s="452">
        <v>150</v>
      </c>
      <c r="S78" s="452">
        <f t="shared" si="31"/>
        <v>1050</v>
      </c>
      <c r="T78" s="911">
        <v>154976262</v>
      </c>
    </row>
    <row r="79" spans="1:20" ht="15.75" customHeight="1">
      <c r="A79" s="82">
        <v>75</v>
      </c>
      <c r="B79" s="68" t="s">
        <v>883</v>
      </c>
      <c r="C79" s="68" t="s">
        <v>2332</v>
      </c>
      <c r="D79" s="82" t="s">
        <v>286</v>
      </c>
      <c r="E79" s="82">
        <v>600</v>
      </c>
      <c r="F79" s="82">
        <f t="shared" si="26"/>
        <v>240</v>
      </c>
      <c r="G79" s="82">
        <f t="shared" si="27"/>
        <v>120</v>
      </c>
      <c r="H79" s="82">
        <f t="shared" si="28"/>
        <v>120</v>
      </c>
      <c r="I79" s="82">
        <f t="shared" si="29"/>
        <v>120</v>
      </c>
      <c r="J79" s="199">
        <v>729961.45599999989</v>
      </c>
      <c r="K79" s="215">
        <f t="shared" si="30"/>
        <v>437976873.5999999</v>
      </c>
      <c r="L79" s="185">
        <f t="shared" si="18"/>
        <v>175190749.43999997</v>
      </c>
      <c r="M79" s="186">
        <f t="shared" si="19"/>
        <v>87595374.719999984</v>
      </c>
      <c r="N79" s="187">
        <f t="shared" si="20"/>
        <v>87595374.719999984</v>
      </c>
      <c r="O79" s="985">
        <f t="shared" si="21"/>
        <v>87595374.719999984</v>
      </c>
      <c r="P79" s="984" t="s">
        <v>4742</v>
      </c>
      <c r="Q79" s="400" t="s">
        <v>4808</v>
      </c>
      <c r="R79" s="452">
        <v>140</v>
      </c>
      <c r="S79" s="452">
        <f t="shared" si="31"/>
        <v>460</v>
      </c>
      <c r="T79" s="911">
        <v>81021124.799999997</v>
      </c>
    </row>
    <row r="80" spans="1:20" ht="15.75" customHeight="1">
      <c r="A80" s="82">
        <v>76</v>
      </c>
      <c r="B80" s="224" t="s">
        <v>888</v>
      </c>
      <c r="C80" s="68" t="s">
        <v>2333</v>
      </c>
      <c r="D80" s="82" t="s">
        <v>286</v>
      </c>
      <c r="E80" s="82">
        <v>2000</v>
      </c>
      <c r="F80" s="82">
        <f t="shared" si="26"/>
        <v>800</v>
      </c>
      <c r="G80" s="82">
        <f t="shared" si="27"/>
        <v>400</v>
      </c>
      <c r="H80" s="82">
        <f t="shared" si="28"/>
        <v>400</v>
      </c>
      <c r="I80" s="82">
        <f t="shared" si="29"/>
        <v>400</v>
      </c>
      <c r="J80" s="199">
        <v>1389615.8819999998</v>
      </c>
      <c r="K80" s="215">
        <f t="shared" si="30"/>
        <v>2779231763.9999995</v>
      </c>
      <c r="L80" s="185">
        <f t="shared" si="18"/>
        <v>1111692705.5999999</v>
      </c>
      <c r="M80" s="186">
        <f t="shared" si="19"/>
        <v>555846352.79999995</v>
      </c>
      <c r="N80" s="187">
        <f t="shared" si="20"/>
        <v>555846352.79999995</v>
      </c>
      <c r="O80" s="985">
        <f t="shared" si="21"/>
        <v>555846352.79999995</v>
      </c>
      <c r="P80" s="984" t="s">
        <v>4742</v>
      </c>
      <c r="Q80" s="400" t="s">
        <v>4808</v>
      </c>
      <c r="R80" s="452">
        <v>400</v>
      </c>
      <c r="S80" s="452">
        <f t="shared" si="31"/>
        <v>1600</v>
      </c>
      <c r="T80" s="911">
        <v>440681472</v>
      </c>
    </row>
    <row r="81" spans="1:20" ht="15.75" customHeight="1">
      <c r="A81" s="1240" t="s">
        <v>889</v>
      </c>
      <c r="B81" s="1182"/>
      <c r="C81" s="1182"/>
      <c r="D81" s="1182"/>
      <c r="E81" s="1182"/>
      <c r="F81" s="1182"/>
      <c r="G81" s="1182"/>
      <c r="H81" s="1182"/>
      <c r="I81" s="1241"/>
      <c r="K81" s="215">
        <f t="shared" si="30"/>
        <v>0</v>
      </c>
      <c r="P81" s="986"/>
      <c r="Q81" s="383"/>
      <c r="R81" s="383"/>
      <c r="S81" s="452"/>
      <c r="T81" s="383"/>
    </row>
    <row r="82" spans="1:20" ht="15.75" customHeight="1">
      <c r="A82" s="68">
        <v>77</v>
      </c>
      <c r="B82" s="88" t="s">
        <v>890</v>
      </c>
      <c r="C82" s="68" t="s">
        <v>2334</v>
      </c>
      <c r="D82" s="82" t="s">
        <v>286</v>
      </c>
      <c r="E82" s="68">
        <v>700</v>
      </c>
      <c r="F82" s="82">
        <f t="shared" ref="F82:F93" si="32">E82*0.4</f>
        <v>280</v>
      </c>
      <c r="G82" s="82">
        <f t="shared" ref="G82:G93" si="33">E82*0.2</f>
        <v>140</v>
      </c>
      <c r="H82" s="82">
        <f t="shared" ref="H82:H93" si="34">E82*0.2</f>
        <v>140</v>
      </c>
      <c r="I82" s="82">
        <f t="shared" ref="I82:I93" si="35">E82*0.2</f>
        <v>140</v>
      </c>
      <c r="J82" s="199">
        <v>764704.41899999999</v>
      </c>
      <c r="K82" s="215">
        <f t="shared" si="30"/>
        <v>535293093.30000001</v>
      </c>
      <c r="L82" s="185">
        <f t="shared" ref="L82:L93" si="36">J82*F82</f>
        <v>214117237.31999999</v>
      </c>
      <c r="M82" s="186">
        <f t="shared" ref="M82:M93" si="37">J82*G82</f>
        <v>107058618.66</v>
      </c>
      <c r="N82" s="187">
        <f t="shared" ref="N82:N93" si="38">J82*H82</f>
        <v>107058618.66</v>
      </c>
      <c r="O82" s="985">
        <f t="shared" ref="O82:O93" si="39">J82*I82</f>
        <v>107058618.66</v>
      </c>
      <c r="P82" s="986"/>
      <c r="Q82" s="383"/>
      <c r="R82" s="383"/>
      <c r="S82" s="452">
        <f t="shared" si="31"/>
        <v>700</v>
      </c>
      <c r="T82" s="383"/>
    </row>
    <row r="83" spans="1:20" ht="15.75" customHeight="1">
      <c r="A83" s="68">
        <v>78</v>
      </c>
      <c r="B83" s="68" t="s">
        <v>891</v>
      </c>
      <c r="C83" s="68" t="s">
        <v>2335</v>
      </c>
      <c r="D83" s="82" t="s">
        <v>286</v>
      </c>
      <c r="E83" s="82">
        <v>400</v>
      </c>
      <c r="F83" s="82">
        <f t="shared" si="32"/>
        <v>160</v>
      </c>
      <c r="G83" s="82">
        <f t="shared" si="33"/>
        <v>80</v>
      </c>
      <c r="H83" s="82">
        <f t="shared" si="34"/>
        <v>80</v>
      </c>
      <c r="I83" s="82">
        <f t="shared" si="35"/>
        <v>80</v>
      </c>
      <c r="J83" s="199">
        <v>239095.22100000002</v>
      </c>
      <c r="K83" s="215">
        <f t="shared" si="30"/>
        <v>95638088.400000006</v>
      </c>
      <c r="L83" s="185">
        <f t="shared" si="36"/>
        <v>38255235.359999999</v>
      </c>
      <c r="M83" s="186">
        <f t="shared" si="37"/>
        <v>19127617.68</v>
      </c>
      <c r="N83" s="187">
        <f t="shared" si="38"/>
        <v>19127617.68</v>
      </c>
      <c r="O83" s="985">
        <f t="shared" si="39"/>
        <v>19127617.68</v>
      </c>
      <c r="P83" s="986"/>
      <c r="Q83" s="383"/>
      <c r="R83" s="383"/>
      <c r="S83" s="452">
        <f t="shared" si="31"/>
        <v>400</v>
      </c>
      <c r="T83" s="383"/>
    </row>
    <row r="84" spans="1:20" ht="15.75" customHeight="1">
      <c r="A84" s="68">
        <v>79</v>
      </c>
      <c r="B84" s="68" t="s">
        <v>892</v>
      </c>
      <c r="C84" s="68" t="s">
        <v>2336</v>
      </c>
      <c r="D84" s="82" t="s">
        <v>286</v>
      </c>
      <c r="E84" s="82">
        <v>400</v>
      </c>
      <c r="F84" s="82">
        <f t="shared" si="32"/>
        <v>160</v>
      </c>
      <c r="G84" s="82">
        <f t="shared" si="33"/>
        <v>80</v>
      </c>
      <c r="H84" s="82">
        <f t="shared" si="34"/>
        <v>80</v>
      </c>
      <c r="I84" s="82">
        <f t="shared" si="35"/>
        <v>80</v>
      </c>
      <c r="J84" s="199">
        <v>258083.25099999999</v>
      </c>
      <c r="K84" s="215">
        <f t="shared" si="30"/>
        <v>103233300.39999999</v>
      </c>
      <c r="L84" s="185">
        <f t="shared" si="36"/>
        <v>41293320.159999996</v>
      </c>
      <c r="M84" s="186">
        <f t="shared" si="37"/>
        <v>20646660.079999998</v>
      </c>
      <c r="N84" s="187">
        <f t="shared" si="38"/>
        <v>20646660.079999998</v>
      </c>
      <c r="O84" s="985">
        <f t="shared" si="39"/>
        <v>20646660.079999998</v>
      </c>
      <c r="P84" s="986"/>
      <c r="Q84" s="383"/>
      <c r="R84" s="383"/>
      <c r="S84" s="452">
        <f t="shared" si="31"/>
        <v>400</v>
      </c>
      <c r="T84" s="383"/>
    </row>
    <row r="85" spans="1:20" ht="15.75" customHeight="1">
      <c r="A85" s="68">
        <v>80</v>
      </c>
      <c r="B85" s="68" t="s">
        <v>860</v>
      </c>
      <c r="C85" s="68" t="s">
        <v>2337</v>
      </c>
      <c r="D85" s="82" t="s">
        <v>286</v>
      </c>
      <c r="E85" s="82">
        <v>700</v>
      </c>
      <c r="F85" s="82">
        <f t="shared" si="32"/>
        <v>280</v>
      </c>
      <c r="G85" s="82">
        <f t="shared" si="33"/>
        <v>140</v>
      </c>
      <c r="H85" s="82">
        <f t="shared" si="34"/>
        <v>140</v>
      </c>
      <c r="I85" s="82">
        <f t="shared" si="35"/>
        <v>140</v>
      </c>
      <c r="J85" s="199">
        <v>37206.274999999994</v>
      </c>
      <c r="K85" s="215">
        <f t="shared" si="30"/>
        <v>26044392.499999996</v>
      </c>
      <c r="L85" s="185">
        <f t="shared" si="36"/>
        <v>10417756.999999998</v>
      </c>
      <c r="M85" s="186">
        <f t="shared" si="37"/>
        <v>5208878.4999999991</v>
      </c>
      <c r="N85" s="187">
        <f t="shared" si="38"/>
        <v>5208878.4999999991</v>
      </c>
      <c r="O85" s="985">
        <f t="shared" si="39"/>
        <v>5208878.4999999991</v>
      </c>
      <c r="P85" s="986"/>
      <c r="Q85" s="383"/>
      <c r="R85" s="383"/>
      <c r="S85" s="452">
        <f t="shared" si="31"/>
        <v>700</v>
      </c>
      <c r="T85" s="383"/>
    </row>
    <row r="86" spans="1:20" ht="15.75" customHeight="1">
      <c r="A86" s="68">
        <v>81</v>
      </c>
      <c r="B86" s="68" t="s">
        <v>893</v>
      </c>
      <c r="C86" s="68" t="s">
        <v>2338</v>
      </c>
      <c r="D86" s="82" t="s">
        <v>286</v>
      </c>
      <c r="E86" s="82">
        <v>160</v>
      </c>
      <c r="F86" s="82">
        <f t="shared" si="32"/>
        <v>64</v>
      </c>
      <c r="G86" s="82">
        <f t="shared" si="33"/>
        <v>32</v>
      </c>
      <c r="H86" s="82">
        <f t="shared" si="34"/>
        <v>32</v>
      </c>
      <c r="I86" s="82">
        <f t="shared" si="35"/>
        <v>32</v>
      </c>
      <c r="J86" s="199">
        <v>49676.791999999994</v>
      </c>
      <c r="K86" s="215">
        <f t="shared" si="30"/>
        <v>7948286.7199999988</v>
      </c>
      <c r="L86" s="185">
        <f t="shared" si="36"/>
        <v>3179314.6879999996</v>
      </c>
      <c r="M86" s="186">
        <f t="shared" si="37"/>
        <v>1589657.3439999998</v>
      </c>
      <c r="N86" s="187">
        <f t="shared" si="38"/>
        <v>1589657.3439999998</v>
      </c>
      <c r="O86" s="985">
        <f t="shared" si="39"/>
        <v>1589657.3439999998</v>
      </c>
      <c r="P86" s="986"/>
      <c r="Q86" s="383"/>
      <c r="R86" s="383"/>
      <c r="S86" s="452">
        <f t="shared" si="31"/>
        <v>160</v>
      </c>
      <c r="T86" s="383"/>
    </row>
    <row r="87" spans="1:20" ht="15.75" customHeight="1">
      <c r="A87" s="68">
        <v>82</v>
      </c>
      <c r="B87" s="68" t="s">
        <v>894</v>
      </c>
      <c r="C87" s="68" t="s">
        <v>2339</v>
      </c>
      <c r="D87" s="82" t="s">
        <v>286</v>
      </c>
      <c r="E87" s="82">
        <v>400</v>
      </c>
      <c r="F87" s="82">
        <f t="shared" si="32"/>
        <v>160</v>
      </c>
      <c r="G87" s="82">
        <f t="shared" si="33"/>
        <v>80</v>
      </c>
      <c r="H87" s="82">
        <f t="shared" si="34"/>
        <v>80</v>
      </c>
      <c r="I87" s="82">
        <f t="shared" si="35"/>
        <v>80</v>
      </c>
      <c r="J87" s="199">
        <v>95504.659</v>
      </c>
      <c r="K87" s="215">
        <f t="shared" si="30"/>
        <v>38201863.600000001</v>
      </c>
      <c r="L87" s="185">
        <f t="shared" si="36"/>
        <v>15280745.439999999</v>
      </c>
      <c r="M87" s="186">
        <f t="shared" si="37"/>
        <v>7640372.7199999997</v>
      </c>
      <c r="N87" s="187">
        <f t="shared" si="38"/>
        <v>7640372.7199999997</v>
      </c>
      <c r="O87" s="985">
        <f t="shared" si="39"/>
        <v>7640372.7199999997</v>
      </c>
      <c r="P87" s="986"/>
      <c r="Q87" s="383"/>
      <c r="R87" s="383"/>
      <c r="S87" s="452">
        <f t="shared" si="31"/>
        <v>400</v>
      </c>
      <c r="T87" s="383"/>
    </row>
    <row r="88" spans="1:20" ht="15.75" customHeight="1">
      <c r="A88" s="68">
        <v>83</v>
      </c>
      <c r="B88" s="68" t="s">
        <v>895</v>
      </c>
      <c r="C88" s="68" t="s">
        <v>2340</v>
      </c>
      <c r="D88" s="82" t="s">
        <v>286</v>
      </c>
      <c r="E88" s="82">
        <v>2000</v>
      </c>
      <c r="F88" s="82">
        <f t="shared" si="32"/>
        <v>800</v>
      </c>
      <c r="G88" s="82">
        <f t="shared" si="33"/>
        <v>400</v>
      </c>
      <c r="H88" s="82">
        <f t="shared" si="34"/>
        <v>400</v>
      </c>
      <c r="I88" s="82">
        <f t="shared" si="35"/>
        <v>400</v>
      </c>
      <c r="J88" s="199">
        <v>30637.443000000007</v>
      </c>
      <c r="K88" s="215">
        <f t="shared" si="30"/>
        <v>61274886.000000015</v>
      </c>
      <c r="L88" s="185">
        <f t="shared" si="36"/>
        <v>24509954.400000006</v>
      </c>
      <c r="M88" s="186">
        <f t="shared" si="37"/>
        <v>12254977.200000003</v>
      </c>
      <c r="N88" s="187">
        <f t="shared" si="38"/>
        <v>12254977.200000003</v>
      </c>
      <c r="O88" s="985">
        <f t="shared" si="39"/>
        <v>12254977.200000003</v>
      </c>
      <c r="P88" s="986"/>
      <c r="Q88" s="383"/>
      <c r="R88" s="383"/>
      <c r="S88" s="452">
        <f t="shared" si="31"/>
        <v>2000</v>
      </c>
      <c r="T88" s="383"/>
    </row>
    <row r="89" spans="1:20" ht="15.75" customHeight="1">
      <c r="A89" s="68">
        <v>84</v>
      </c>
      <c r="B89" s="68" t="s">
        <v>896</v>
      </c>
      <c r="C89" s="68" t="s">
        <v>2341</v>
      </c>
      <c r="D89" s="82" t="s">
        <v>286</v>
      </c>
      <c r="E89" s="82">
        <v>2000</v>
      </c>
      <c r="F89" s="82">
        <f t="shared" si="32"/>
        <v>800</v>
      </c>
      <c r="G89" s="82">
        <f t="shared" si="33"/>
        <v>400</v>
      </c>
      <c r="H89" s="82">
        <f t="shared" si="34"/>
        <v>400</v>
      </c>
      <c r="I89" s="82">
        <f t="shared" si="35"/>
        <v>400</v>
      </c>
      <c r="J89" s="199">
        <v>215437.16200000001</v>
      </c>
      <c r="K89" s="215">
        <f t="shared" si="30"/>
        <v>430874324</v>
      </c>
      <c r="L89" s="185">
        <f t="shared" si="36"/>
        <v>172349729.60000002</v>
      </c>
      <c r="M89" s="186">
        <f t="shared" si="37"/>
        <v>86174864.800000012</v>
      </c>
      <c r="N89" s="187">
        <f t="shared" si="38"/>
        <v>86174864.800000012</v>
      </c>
      <c r="O89" s="985">
        <f t="shared" si="39"/>
        <v>86174864.800000012</v>
      </c>
      <c r="P89" s="986"/>
      <c r="Q89" s="383"/>
      <c r="R89" s="383"/>
      <c r="S89" s="452">
        <f t="shared" si="31"/>
        <v>2000</v>
      </c>
      <c r="T89" s="383"/>
    </row>
    <row r="90" spans="1:20" ht="15.75" customHeight="1">
      <c r="A90" s="68">
        <v>85</v>
      </c>
      <c r="B90" s="68" t="s">
        <v>897</v>
      </c>
      <c r="C90" s="68" t="s">
        <v>2342</v>
      </c>
      <c r="D90" s="82" t="s">
        <v>286</v>
      </c>
      <c r="E90" s="82">
        <v>800</v>
      </c>
      <c r="F90" s="82">
        <f t="shared" si="32"/>
        <v>320</v>
      </c>
      <c r="G90" s="82">
        <f t="shared" si="33"/>
        <v>160</v>
      </c>
      <c r="H90" s="82">
        <f t="shared" si="34"/>
        <v>160</v>
      </c>
      <c r="I90" s="82">
        <f t="shared" si="35"/>
        <v>160</v>
      </c>
      <c r="J90" s="199">
        <v>537207.29200000013</v>
      </c>
      <c r="K90" s="215">
        <f t="shared" si="30"/>
        <v>429765833.60000008</v>
      </c>
      <c r="L90" s="185">
        <f t="shared" si="36"/>
        <v>171906333.44000006</v>
      </c>
      <c r="M90" s="186">
        <f t="shared" si="37"/>
        <v>85953166.720000029</v>
      </c>
      <c r="N90" s="187">
        <f t="shared" si="38"/>
        <v>85953166.720000029</v>
      </c>
      <c r="O90" s="985">
        <f t="shared" si="39"/>
        <v>85953166.720000029</v>
      </c>
      <c r="P90" s="986"/>
      <c r="Q90" s="383"/>
      <c r="R90" s="383"/>
      <c r="S90" s="452">
        <f t="shared" si="31"/>
        <v>800</v>
      </c>
      <c r="T90" s="383"/>
    </row>
    <row r="91" spans="1:20" ht="15.75" customHeight="1">
      <c r="A91" s="68">
        <v>86</v>
      </c>
      <c r="B91" s="68" t="s">
        <v>898</v>
      </c>
      <c r="C91" s="68" t="s">
        <v>2343</v>
      </c>
      <c r="D91" s="82" t="s">
        <v>286</v>
      </c>
      <c r="E91" s="82">
        <v>650</v>
      </c>
      <c r="F91" s="82">
        <f t="shared" si="32"/>
        <v>260</v>
      </c>
      <c r="G91" s="82">
        <f t="shared" si="33"/>
        <v>130</v>
      </c>
      <c r="H91" s="82">
        <f t="shared" si="34"/>
        <v>130</v>
      </c>
      <c r="I91" s="82">
        <f t="shared" si="35"/>
        <v>130</v>
      </c>
      <c r="J91" s="199">
        <v>188597.32500000001</v>
      </c>
      <c r="K91" s="215">
        <f t="shared" si="30"/>
        <v>122588261.25000001</v>
      </c>
      <c r="L91" s="185">
        <f t="shared" si="36"/>
        <v>49035304.5</v>
      </c>
      <c r="M91" s="186">
        <f t="shared" si="37"/>
        <v>24517652.25</v>
      </c>
      <c r="N91" s="187">
        <f t="shared" si="38"/>
        <v>24517652.25</v>
      </c>
      <c r="O91" s="985">
        <f t="shared" si="39"/>
        <v>24517652.25</v>
      </c>
      <c r="P91" s="986"/>
      <c r="Q91" s="383"/>
      <c r="R91" s="383"/>
      <c r="S91" s="452">
        <f t="shared" si="31"/>
        <v>650</v>
      </c>
      <c r="T91" s="383"/>
    </row>
    <row r="92" spans="1:20" ht="15.75" customHeight="1">
      <c r="A92" s="68">
        <v>87</v>
      </c>
      <c r="B92" s="68" t="s">
        <v>899</v>
      </c>
      <c r="C92" s="68" t="s">
        <v>2344</v>
      </c>
      <c r="D92" s="82" t="s">
        <v>286</v>
      </c>
      <c r="E92" s="82">
        <v>650</v>
      </c>
      <c r="F92" s="82">
        <f t="shared" si="32"/>
        <v>260</v>
      </c>
      <c r="G92" s="82">
        <f t="shared" si="33"/>
        <v>130</v>
      </c>
      <c r="H92" s="82">
        <f t="shared" si="34"/>
        <v>130</v>
      </c>
      <c r="I92" s="82">
        <f t="shared" si="35"/>
        <v>130</v>
      </c>
      <c r="J92" s="199">
        <v>206815.56999999998</v>
      </c>
      <c r="K92" s="215">
        <f t="shared" si="30"/>
        <v>134430120.5</v>
      </c>
      <c r="L92" s="185">
        <f t="shared" si="36"/>
        <v>53772048.199999996</v>
      </c>
      <c r="M92" s="186">
        <f t="shared" si="37"/>
        <v>26886024.099999998</v>
      </c>
      <c r="N92" s="187">
        <f t="shared" si="38"/>
        <v>26886024.099999998</v>
      </c>
      <c r="O92" s="985">
        <f t="shared" si="39"/>
        <v>26886024.099999998</v>
      </c>
      <c r="P92" s="986"/>
      <c r="Q92" s="383"/>
      <c r="R92" s="383"/>
      <c r="S92" s="452">
        <f t="shared" si="31"/>
        <v>650</v>
      </c>
      <c r="T92" s="383"/>
    </row>
    <row r="93" spans="1:20" ht="15.75" customHeight="1">
      <c r="A93" s="68">
        <v>88</v>
      </c>
      <c r="B93" s="68" t="s">
        <v>900</v>
      </c>
      <c r="C93" s="68" t="s">
        <v>2345</v>
      </c>
      <c r="D93" s="82" t="s">
        <v>286</v>
      </c>
      <c r="E93" s="82">
        <v>650</v>
      </c>
      <c r="F93" s="82">
        <f t="shared" si="32"/>
        <v>260</v>
      </c>
      <c r="G93" s="82">
        <f t="shared" si="33"/>
        <v>130</v>
      </c>
      <c r="H93" s="82">
        <f t="shared" si="34"/>
        <v>130</v>
      </c>
      <c r="I93" s="82">
        <f t="shared" si="35"/>
        <v>130</v>
      </c>
      <c r="J93" s="199">
        <v>251514.41899999997</v>
      </c>
      <c r="K93" s="215">
        <f t="shared" si="30"/>
        <v>163484372.34999996</v>
      </c>
      <c r="L93" s="185">
        <f t="shared" si="36"/>
        <v>65393748.93999999</v>
      </c>
      <c r="M93" s="186">
        <f t="shared" si="37"/>
        <v>32696874.469999995</v>
      </c>
      <c r="N93" s="187">
        <f t="shared" si="38"/>
        <v>32696874.469999995</v>
      </c>
      <c r="O93" s="985">
        <f t="shared" si="39"/>
        <v>32696874.469999995</v>
      </c>
      <c r="P93" s="986"/>
      <c r="Q93" s="383"/>
      <c r="R93" s="383"/>
      <c r="S93" s="452">
        <f t="shared" si="31"/>
        <v>650</v>
      </c>
      <c r="T93" s="383"/>
    </row>
    <row r="94" spans="1:20" ht="15.75" customHeight="1">
      <c r="A94" s="1240" t="s">
        <v>901</v>
      </c>
      <c r="B94" s="1182"/>
      <c r="C94" s="1182"/>
      <c r="D94" s="1182"/>
      <c r="E94" s="1182"/>
      <c r="F94" s="1182"/>
      <c r="G94" s="1182"/>
      <c r="H94" s="1182"/>
      <c r="I94" s="1241"/>
      <c r="K94" s="215">
        <f t="shared" si="30"/>
        <v>0</v>
      </c>
      <c r="P94" s="986"/>
      <c r="Q94" s="383"/>
      <c r="R94" s="383"/>
      <c r="S94" s="452"/>
      <c r="T94" s="383"/>
    </row>
    <row r="95" spans="1:20" ht="15.75" customHeight="1">
      <c r="A95" s="68">
        <v>89</v>
      </c>
      <c r="B95" s="68" t="s">
        <v>902</v>
      </c>
      <c r="C95" s="68" t="s">
        <v>2346</v>
      </c>
      <c r="D95" s="82" t="s">
        <v>286</v>
      </c>
      <c r="E95" s="82">
        <v>10</v>
      </c>
      <c r="F95" s="82"/>
      <c r="G95" s="82">
        <v>10</v>
      </c>
      <c r="H95" s="82"/>
      <c r="I95" s="82"/>
      <c r="J95" s="199">
        <v>2366668.2149999999</v>
      </c>
      <c r="K95" s="215">
        <f t="shared" si="30"/>
        <v>23666682.149999999</v>
      </c>
      <c r="L95" s="185">
        <f t="shared" ref="L95:L110" si="40">J95*F95</f>
        <v>0</v>
      </c>
      <c r="M95" s="186">
        <f t="shared" ref="M95:M110" si="41">J95*G95</f>
        <v>23666682.149999999</v>
      </c>
      <c r="N95" s="187">
        <f t="shared" ref="N95:N110" si="42">J95*H95</f>
        <v>0</v>
      </c>
      <c r="O95" s="985">
        <f t="shared" ref="O95:O110" si="43">J95*I95</f>
        <v>0</v>
      </c>
      <c r="P95" s="986"/>
      <c r="Q95" s="383"/>
      <c r="R95" s="383"/>
      <c r="S95" s="452">
        <f t="shared" si="31"/>
        <v>10</v>
      </c>
      <c r="T95" s="383"/>
    </row>
    <row r="96" spans="1:20" ht="15.75" customHeight="1">
      <c r="A96" s="68">
        <v>90</v>
      </c>
      <c r="B96" s="68" t="s">
        <v>903</v>
      </c>
      <c r="C96" s="68" t="s">
        <v>2347</v>
      </c>
      <c r="D96" s="82" t="s">
        <v>286</v>
      </c>
      <c r="E96" s="82">
        <v>10</v>
      </c>
      <c r="F96" s="82"/>
      <c r="G96" s="82">
        <v>10</v>
      </c>
      <c r="H96" s="82"/>
      <c r="I96" s="82"/>
      <c r="J96" s="199">
        <v>3784301.3925000001</v>
      </c>
      <c r="K96" s="215">
        <f t="shared" si="30"/>
        <v>37843013.924999997</v>
      </c>
      <c r="L96" s="185">
        <f t="shared" si="40"/>
        <v>0</v>
      </c>
      <c r="M96" s="186">
        <f t="shared" si="41"/>
        <v>37843013.924999997</v>
      </c>
      <c r="N96" s="187">
        <f t="shared" si="42"/>
        <v>0</v>
      </c>
      <c r="O96" s="985">
        <f t="shared" si="43"/>
        <v>0</v>
      </c>
      <c r="P96" s="986"/>
      <c r="Q96" s="383"/>
      <c r="R96" s="383"/>
      <c r="S96" s="452">
        <f t="shared" si="31"/>
        <v>10</v>
      </c>
      <c r="T96" s="383"/>
    </row>
    <row r="97" spans="1:20" ht="30">
      <c r="A97" s="68">
        <v>91</v>
      </c>
      <c r="B97" s="224" t="s">
        <v>904</v>
      </c>
      <c r="C97" s="68" t="s">
        <v>2348</v>
      </c>
      <c r="D97" s="82" t="s">
        <v>286</v>
      </c>
      <c r="E97" s="82">
        <v>10</v>
      </c>
      <c r="F97" s="82"/>
      <c r="G97" s="82">
        <v>10</v>
      </c>
      <c r="H97" s="82"/>
      <c r="I97" s="82"/>
      <c r="J97" s="199">
        <v>3588149.43</v>
      </c>
      <c r="K97" s="215">
        <f t="shared" si="30"/>
        <v>35881494.300000004</v>
      </c>
      <c r="L97" s="185">
        <f t="shared" si="40"/>
        <v>0</v>
      </c>
      <c r="M97" s="186">
        <f t="shared" si="41"/>
        <v>35881494.300000004</v>
      </c>
      <c r="N97" s="187">
        <f t="shared" si="42"/>
        <v>0</v>
      </c>
      <c r="O97" s="985">
        <f t="shared" si="43"/>
        <v>0</v>
      </c>
      <c r="P97" s="986"/>
      <c r="Q97" s="383"/>
      <c r="R97" s="383"/>
      <c r="S97" s="452">
        <f t="shared" si="31"/>
        <v>10</v>
      </c>
      <c r="T97" s="383"/>
    </row>
    <row r="98" spans="1:20" ht="15.75" customHeight="1">
      <c r="A98" s="68">
        <v>92</v>
      </c>
      <c r="B98" s="68" t="s">
        <v>905</v>
      </c>
      <c r="C98" s="68" t="s">
        <v>2349</v>
      </c>
      <c r="D98" s="82" t="s">
        <v>286</v>
      </c>
      <c r="E98" s="82">
        <v>10</v>
      </c>
      <c r="F98" s="82"/>
      <c r="G98" s="82">
        <v>10</v>
      </c>
      <c r="H98" s="82"/>
      <c r="I98" s="82"/>
      <c r="J98" s="199">
        <v>1454387.4899999998</v>
      </c>
      <c r="K98" s="215">
        <f t="shared" si="30"/>
        <v>14543874.899999999</v>
      </c>
      <c r="L98" s="185">
        <f t="shared" si="40"/>
        <v>0</v>
      </c>
      <c r="M98" s="186">
        <f t="shared" si="41"/>
        <v>14543874.899999999</v>
      </c>
      <c r="N98" s="187">
        <f t="shared" si="42"/>
        <v>0</v>
      </c>
      <c r="O98" s="985">
        <f t="shared" si="43"/>
        <v>0</v>
      </c>
      <c r="P98" s="986"/>
      <c r="Q98" s="383"/>
      <c r="R98" s="383"/>
      <c r="S98" s="452">
        <f t="shared" si="31"/>
        <v>10</v>
      </c>
      <c r="T98" s="383"/>
    </row>
    <row r="99" spans="1:20" ht="15.75" customHeight="1">
      <c r="A99" s="68">
        <v>93</v>
      </c>
      <c r="B99" s="68" t="s">
        <v>906</v>
      </c>
      <c r="C99" s="68" t="s">
        <v>2350</v>
      </c>
      <c r="D99" s="82" t="s">
        <v>286</v>
      </c>
      <c r="E99" s="82">
        <v>10</v>
      </c>
      <c r="F99" s="82"/>
      <c r="G99" s="82">
        <v>10</v>
      </c>
      <c r="H99" s="82"/>
      <c r="I99" s="82"/>
      <c r="J99" s="199">
        <v>3245986.125</v>
      </c>
      <c r="K99" s="215">
        <f t="shared" si="30"/>
        <v>32459861.25</v>
      </c>
      <c r="L99" s="185">
        <f t="shared" si="40"/>
        <v>0</v>
      </c>
      <c r="M99" s="186">
        <f t="shared" si="41"/>
        <v>32459861.25</v>
      </c>
      <c r="N99" s="187">
        <f t="shared" si="42"/>
        <v>0</v>
      </c>
      <c r="O99" s="985">
        <f t="shared" si="43"/>
        <v>0</v>
      </c>
      <c r="P99" s="986"/>
      <c r="Q99" s="383"/>
      <c r="R99" s="383"/>
      <c r="S99" s="452">
        <f t="shared" si="31"/>
        <v>10</v>
      </c>
      <c r="T99" s="383"/>
    </row>
    <row r="100" spans="1:20" ht="15.75" customHeight="1">
      <c r="A100" s="68">
        <v>94</v>
      </c>
      <c r="B100" s="68" t="s">
        <v>903</v>
      </c>
      <c r="C100" s="68" t="s">
        <v>2351</v>
      </c>
      <c r="D100" s="82" t="s">
        <v>286</v>
      </c>
      <c r="E100" s="82">
        <v>10</v>
      </c>
      <c r="F100" s="82"/>
      <c r="G100" s="82">
        <v>10</v>
      </c>
      <c r="H100" s="82"/>
      <c r="I100" s="82"/>
      <c r="J100" s="199">
        <v>3784301.3925000001</v>
      </c>
      <c r="K100" s="215">
        <f t="shared" si="30"/>
        <v>37843013.924999997</v>
      </c>
      <c r="L100" s="185">
        <f t="shared" si="40"/>
        <v>0</v>
      </c>
      <c r="M100" s="186">
        <f t="shared" si="41"/>
        <v>37843013.924999997</v>
      </c>
      <c r="N100" s="187">
        <f t="shared" si="42"/>
        <v>0</v>
      </c>
      <c r="O100" s="985">
        <f t="shared" si="43"/>
        <v>0</v>
      </c>
      <c r="P100" s="986"/>
      <c r="Q100" s="383"/>
      <c r="R100" s="383"/>
      <c r="S100" s="452">
        <f t="shared" si="31"/>
        <v>10</v>
      </c>
      <c r="T100" s="383"/>
    </row>
    <row r="101" spans="1:20" ht="30">
      <c r="A101" s="68">
        <v>95</v>
      </c>
      <c r="B101" s="224" t="s">
        <v>907</v>
      </c>
      <c r="C101" s="68" t="s">
        <v>2352</v>
      </c>
      <c r="D101" s="82" t="s">
        <v>286</v>
      </c>
      <c r="E101" s="68">
        <v>10</v>
      </c>
      <c r="F101" s="82"/>
      <c r="G101" s="82">
        <v>10</v>
      </c>
      <c r="H101" s="82"/>
      <c r="I101" s="82"/>
      <c r="J101" s="199">
        <v>3588149.43</v>
      </c>
      <c r="K101" s="215">
        <f t="shared" si="30"/>
        <v>35881494.300000004</v>
      </c>
      <c r="L101" s="185">
        <f t="shared" si="40"/>
        <v>0</v>
      </c>
      <c r="M101" s="186">
        <f t="shared" si="41"/>
        <v>35881494.300000004</v>
      </c>
      <c r="N101" s="187">
        <f t="shared" si="42"/>
        <v>0</v>
      </c>
      <c r="O101" s="985">
        <f t="shared" si="43"/>
        <v>0</v>
      </c>
      <c r="P101" s="986"/>
      <c r="Q101" s="383"/>
      <c r="R101" s="383"/>
      <c r="S101" s="452">
        <f t="shared" si="31"/>
        <v>10</v>
      </c>
      <c r="T101" s="383"/>
    </row>
    <row r="102" spans="1:20" ht="15.75" customHeight="1">
      <c r="A102" s="68">
        <v>96</v>
      </c>
      <c r="B102" s="68" t="s">
        <v>908</v>
      </c>
      <c r="C102" s="68" t="s">
        <v>2353</v>
      </c>
      <c r="D102" s="82" t="s">
        <v>286</v>
      </c>
      <c r="E102" s="68">
        <v>10</v>
      </c>
      <c r="F102" s="82"/>
      <c r="G102" s="82">
        <v>10</v>
      </c>
      <c r="H102" s="82"/>
      <c r="I102" s="82"/>
      <c r="J102" s="199">
        <v>5695061.3774999995</v>
      </c>
      <c r="K102" s="215">
        <f t="shared" si="30"/>
        <v>56950613.774999991</v>
      </c>
      <c r="L102" s="185">
        <f t="shared" si="40"/>
        <v>0</v>
      </c>
      <c r="M102" s="186">
        <f t="shared" si="41"/>
        <v>56950613.774999991</v>
      </c>
      <c r="N102" s="187">
        <f t="shared" si="42"/>
        <v>0</v>
      </c>
      <c r="O102" s="985">
        <f t="shared" si="43"/>
        <v>0</v>
      </c>
      <c r="P102" s="986"/>
      <c r="Q102" s="383"/>
      <c r="R102" s="383"/>
      <c r="S102" s="452">
        <f t="shared" si="31"/>
        <v>10</v>
      </c>
      <c r="T102" s="383"/>
    </row>
    <row r="103" spans="1:20" ht="30">
      <c r="A103" s="68">
        <v>97</v>
      </c>
      <c r="B103" s="224" t="s">
        <v>909</v>
      </c>
      <c r="C103" s="68" t="s">
        <v>2354</v>
      </c>
      <c r="D103" s="82" t="s">
        <v>286</v>
      </c>
      <c r="E103" s="68">
        <v>10</v>
      </c>
      <c r="F103" s="82"/>
      <c r="G103" s="82">
        <v>10</v>
      </c>
      <c r="H103" s="82"/>
      <c r="I103" s="82"/>
      <c r="J103" s="199">
        <v>29628695.902499996</v>
      </c>
      <c r="K103" s="215">
        <f t="shared" si="30"/>
        <v>296286959.02499998</v>
      </c>
      <c r="L103" s="185">
        <f t="shared" si="40"/>
        <v>0</v>
      </c>
      <c r="M103" s="186">
        <f t="shared" si="41"/>
        <v>296286959.02499998</v>
      </c>
      <c r="N103" s="187">
        <f t="shared" si="42"/>
        <v>0</v>
      </c>
      <c r="O103" s="985">
        <f t="shared" si="43"/>
        <v>0</v>
      </c>
      <c r="P103" s="986"/>
      <c r="Q103" s="383"/>
      <c r="R103" s="383"/>
      <c r="S103" s="452">
        <f t="shared" si="31"/>
        <v>10</v>
      </c>
      <c r="T103" s="383"/>
    </row>
    <row r="104" spans="1:20" ht="15.75" customHeight="1">
      <c r="A104" s="68">
        <v>98</v>
      </c>
      <c r="B104" s="68" t="s">
        <v>881</v>
      </c>
      <c r="C104" s="68" t="s">
        <v>2355</v>
      </c>
      <c r="D104" s="82" t="s">
        <v>286</v>
      </c>
      <c r="E104" s="68">
        <v>40</v>
      </c>
      <c r="F104" s="82"/>
      <c r="G104" s="82">
        <v>40</v>
      </c>
      <c r="H104" s="82"/>
      <c r="I104" s="82"/>
      <c r="J104" s="199">
        <v>5519723.9625000004</v>
      </c>
      <c r="K104" s="215">
        <f t="shared" si="30"/>
        <v>220788958.5</v>
      </c>
      <c r="L104" s="185">
        <f t="shared" si="40"/>
        <v>0</v>
      </c>
      <c r="M104" s="186">
        <f t="shared" si="41"/>
        <v>220788958.5</v>
      </c>
      <c r="N104" s="187">
        <f t="shared" si="42"/>
        <v>0</v>
      </c>
      <c r="O104" s="985">
        <f t="shared" si="43"/>
        <v>0</v>
      </c>
      <c r="P104" s="986"/>
      <c r="Q104" s="383"/>
      <c r="R104" s="383"/>
      <c r="S104" s="452">
        <f t="shared" si="31"/>
        <v>40</v>
      </c>
      <c r="T104" s="383"/>
    </row>
    <row r="105" spans="1:20" ht="15.75" customHeight="1">
      <c r="A105" s="68">
        <v>99</v>
      </c>
      <c r="B105" s="68" t="s">
        <v>882</v>
      </c>
      <c r="C105" s="68" t="s">
        <v>2356</v>
      </c>
      <c r="D105" s="82" t="s">
        <v>286</v>
      </c>
      <c r="E105" s="82">
        <v>10</v>
      </c>
      <c r="F105" s="82"/>
      <c r="G105" s="82">
        <v>10</v>
      </c>
      <c r="H105" s="82"/>
      <c r="I105" s="82"/>
      <c r="J105" s="199">
        <v>2940964.02</v>
      </c>
      <c r="K105" s="215">
        <f t="shared" si="30"/>
        <v>29409640.199999999</v>
      </c>
      <c r="L105" s="185">
        <f t="shared" si="40"/>
        <v>0</v>
      </c>
      <c r="M105" s="186">
        <f t="shared" si="41"/>
        <v>29409640.199999999</v>
      </c>
      <c r="N105" s="187">
        <f t="shared" si="42"/>
        <v>0</v>
      </c>
      <c r="O105" s="985">
        <f t="shared" si="43"/>
        <v>0</v>
      </c>
      <c r="P105" s="986"/>
      <c r="Q105" s="383"/>
      <c r="R105" s="383"/>
      <c r="S105" s="452">
        <f t="shared" si="31"/>
        <v>10</v>
      </c>
      <c r="T105" s="383"/>
    </row>
    <row r="106" spans="1:20" ht="15.75" customHeight="1">
      <c r="A106" s="68">
        <v>100</v>
      </c>
      <c r="B106" s="68" t="s">
        <v>910</v>
      </c>
      <c r="C106" s="68" t="s">
        <v>2268</v>
      </c>
      <c r="D106" s="82" t="s">
        <v>286</v>
      </c>
      <c r="E106" s="82">
        <v>10</v>
      </c>
      <c r="F106" s="82"/>
      <c r="G106" s="82">
        <v>10</v>
      </c>
      <c r="H106" s="82"/>
      <c r="I106" s="82"/>
      <c r="J106" s="199">
        <v>4959278.7299999995</v>
      </c>
      <c r="K106" s="215">
        <f t="shared" si="30"/>
        <v>49592787.299999997</v>
      </c>
      <c r="L106" s="185">
        <f t="shared" si="40"/>
        <v>0</v>
      </c>
      <c r="M106" s="186">
        <f t="shared" si="41"/>
        <v>49592787.299999997</v>
      </c>
      <c r="N106" s="187">
        <f t="shared" si="42"/>
        <v>0</v>
      </c>
      <c r="O106" s="985">
        <f t="shared" si="43"/>
        <v>0</v>
      </c>
      <c r="P106" s="986"/>
      <c r="Q106" s="383"/>
      <c r="R106" s="383"/>
      <c r="S106" s="452">
        <f t="shared" si="31"/>
        <v>10</v>
      </c>
      <c r="T106" s="383"/>
    </row>
    <row r="107" spans="1:20" ht="15.75" customHeight="1">
      <c r="A107" s="68">
        <v>101</v>
      </c>
      <c r="B107" s="68" t="s">
        <v>911</v>
      </c>
      <c r="C107" s="68"/>
      <c r="D107" s="82" t="s">
        <v>286</v>
      </c>
      <c r="E107" s="82">
        <v>10</v>
      </c>
      <c r="F107" s="82"/>
      <c r="G107" s="82">
        <v>10</v>
      </c>
      <c r="H107" s="82"/>
      <c r="I107" s="82"/>
      <c r="J107" s="199">
        <v>18923750.91</v>
      </c>
      <c r="K107" s="215">
        <f t="shared" si="30"/>
        <v>189237509.09999999</v>
      </c>
      <c r="L107" s="185">
        <f t="shared" si="40"/>
        <v>0</v>
      </c>
      <c r="M107" s="186">
        <f t="shared" si="41"/>
        <v>189237509.09999999</v>
      </c>
      <c r="N107" s="187">
        <f t="shared" si="42"/>
        <v>0</v>
      </c>
      <c r="O107" s="985">
        <f t="shared" si="43"/>
        <v>0</v>
      </c>
      <c r="P107" s="986"/>
      <c r="Q107" s="383"/>
      <c r="R107" s="383"/>
      <c r="S107" s="452">
        <f t="shared" si="31"/>
        <v>10</v>
      </c>
      <c r="T107" s="383"/>
    </row>
    <row r="108" spans="1:20" ht="15.75" customHeight="1">
      <c r="A108" s="68">
        <v>102</v>
      </c>
      <c r="B108" s="68" t="s">
        <v>912</v>
      </c>
      <c r="C108" s="68"/>
      <c r="D108" s="82" t="s">
        <v>286</v>
      </c>
      <c r="E108" s="82">
        <v>10</v>
      </c>
      <c r="F108" s="82"/>
      <c r="G108" s="82">
        <v>10</v>
      </c>
      <c r="H108" s="82"/>
      <c r="I108" s="82"/>
      <c r="J108" s="199">
        <v>6199098.4125000006</v>
      </c>
      <c r="K108" s="215">
        <f t="shared" si="30"/>
        <v>61990984.125000007</v>
      </c>
      <c r="L108" s="185">
        <f t="shared" si="40"/>
        <v>0</v>
      </c>
      <c r="M108" s="186">
        <f t="shared" si="41"/>
        <v>61990984.125000007</v>
      </c>
      <c r="N108" s="187">
        <f t="shared" si="42"/>
        <v>0</v>
      </c>
      <c r="O108" s="985">
        <f t="shared" si="43"/>
        <v>0</v>
      </c>
      <c r="P108" s="986"/>
      <c r="Q108" s="383"/>
      <c r="R108" s="383"/>
      <c r="S108" s="452">
        <f t="shared" si="31"/>
        <v>10</v>
      </c>
      <c r="T108" s="383"/>
    </row>
    <row r="109" spans="1:20" ht="15.75" customHeight="1">
      <c r="A109" s="68">
        <v>103</v>
      </c>
      <c r="B109" s="68" t="s">
        <v>913</v>
      </c>
      <c r="C109" s="68"/>
      <c r="D109" s="82" t="s">
        <v>286</v>
      </c>
      <c r="E109" s="82">
        <v>10</v>
      </c>
      <c r="F109" s="82"/>
      <c r="G109" s="82">
        <v>10</v>
      </c>
      <c r="H109" s="82"/>
      <c r="I109" s="82"/>
      <c r="J109" s="199">
        <v>18923750.91</v>
      </c>
      <c r="K109" s="215">
        <f t="shared" si="30"/>
        <v>189237509.09999999</v>
      </c>
      <c r="L109" s="185">
        <f t="shared" si="40"/>
        <v>0</v>
      </c>
      <c r="M109" s="186">
        <f t="shared" si="41"/>
        <v>189237509.09999999</v>
      </c>
      <c r="N109" s="187">
        <f t="shared" si="42"/>
        <v>0</v>
      </c>
      <c r="O109" s="985">
        <f t="shared" si="43"/>
        <v>0</v>
      </c>
      <c r="P109" s="986"/>
      <c r="Q109" s="383"/>
      <c r="R109" s="383"/>
      <c r="S109" s="452">
        <f t="shared" si="31"/>
        <v>10</v>
      </c>
      <c r="T109" s="383"/>
    </row>
    <row r="110" spans="1:20" ht="15.75" customHeight="1">
      <c r="A110" s="68">
        <v>104</v>
      </c>
      <c r="B110" s="68" t="s">
        <v>914</v>
      </c>
      <c r="C110" s="68"/>
      <c r="D110" s="82" t="s">
        <v>286</v>
      </c>
      <c r="E110" s="82">
        <v>10</v>
      </c>
      <c r="F110" s="82"/>
      <c r="G110" s="82">
        <v>10</v>
      </c>
      <c r="H110" s="82"/>
      <c r="I110" s="82"/>
      <c r="J110" s="199">
        <v>6711801.727500001</v>
      </c>
      <c r="K110" s="215">
        <f t="shared" si="30"/>
        <v>67118017.275000006</v>
      </c>
      <c r="L110" s="185">
        <f t="shared" si="40"/>
        <v>0</v>
      </c>
      <c r="M110" s="186">
        <f t="shared" si="41"/>
        <v>67118017.275000006</v>
      </c>
      <c r="N110" s="187">
        <f t="shared" si="42"/>
        <v>0</v>
      </c>
      <c r="O110" s="985">
        <f t="shared" si="43"/>
        <v>0</v>
      </c>
      <c r="P110" s="986"/>
      <c r="Q110" s="383"/>
      <c r="R110" s="383"/>
      <c r="S110" s="452">
        <f t="shared" si="31"/>
        <v>10</v>
      </c>
      <c r="T110" s="383"/>
    </row>
    <row r="111" spans="1:20" ht="15.75" customHeight="1">
      <c r="A111" s="1240" t="s">
        <v>915</v>
      </c>
      <c r="B111" s="1182"/>
      <c r="C111" s="1182"/>
      <c r="D111" s="1182"/>
      <c r="E111" s="1182"/>
      <c r="F111" s="1182"/>
      <c r="G111" s="1182"/>
      <c r="H111" s="1182"/>
      <c r="I111" s="1241"/>
      <c r="K111" s="215">
        <f t="shared" si="30"/>
        <v>0</v>
      </c>
      <c r="P111" s="986"/>
      <c r="Q111" s="383"/>
      <c r="R111" s="383"/>
      <c r="S111" s="452"/>
      <c r="T111" s="383"/>
    </row>
    <row r="112" spans="1:20" ht="15.75" customHeight="1">
      <c r="A112" s="82">
        <v>92</v>
      </c>
      <c r="B112" s="68" t="s">
        <v>916</v>
      </c>
      <c r="C112" s="68" t="s">
        <v>2357</v>
      </c>
      <c r="D112" s="82" t="s">
        <v>286</v>
      </c>
      <c r="E112" s="82">
        <v>50</v>
      </c>
      <c r="F112" s="82">
        <v>50</v>
      </c>
      <c r="G112" s="82"/>
      <c r="H112" s="82"/>
      <c r="I112" s="82"/>
      <c r="J112" s="199">
        <v>3128714.1540000001</v>
      </c>
      <c r="K112" s="215">
        <f t="shared" si="30"/>
        <v>156435707.70000002</v>
      </c>
      <c r="L112" s="185">
        <f>J112*F112</f>
        <v>156435707.70000002</v>
      </c>
      <c r="M112" s="186">
        <f>J112*G112</f>
        <v>0</v>
      </c>
      <c r="N112" s="187">
        <f>J112*H112</f>
        <v>0</v>
      </c>
      <c r="O112" s="985">
        <f>J112*I112</f>
        <v>0</v>
      </c>
      <c r="P112" s="986"/>
      <c r="Q112" s="383"/>
      <c r="R112" s="383"/>
      <c r="S112" s="452">
        <f t="shared" si="31"/>
        <v>50</v>
      </c>
      <c r="T112" s="383"/>
    </row>
    <row r="113" spans="1:20" ht="15.75" customHeight="1">
      <c r="A113" s="82">
        <v>93</v>
      </c>
      <c r="B113" s="68" t="s">
        <v>917</v>
      </c>
      <c r="C113" s="68" t="s">
        <v>2358</v>
      </c>
      <c r="D113" s="82" t="s">
        <v>286</v>
      </c>
      <c r="E113" s="82">
        <v>50</v>
      </c>
      <c r="F113" s="82">
        <v>50</v>
      </c>
      <c r="G113" s="82"/>
      <c r="H113" s="82"/>
      <c r="I113" s="82"/>
      <c r="J113" s="199">
        <v>3314027.0629999996</v>
      </c>
      <c r="K113" s="215">
        <f t="shared" si="30"/>
        <v>165701353.14999998</v>
      </c>
      <c r="L113" s="185">
        <f>J113*F113</f>
        <v>165701353.14999998</v>
      </c>
      <c r="M113" s="186">
        <f>J113*G113</f>
        <v>0</v>
      </c>
      <c r="N113" s="187">
        <f>J113*H113</f>
        <v>0</v>
      </c>
      <c r="O113" s="985">
        <f>J113*I113</f>
        <v>0</v>
      </c>
      <c r="P113" s="986"/>
      <c r="Q113" s="383"/>
      <c r="R113" s="383"/>
      <c r="S113" s="452">
        <f t="shared" si="31"/>
        <v>50</v>
      </c>
      <c r="T113" s="383"/>
    </row>
    <row r="114" spans="1:20" ht="15.75" customHeight="1">
      <c r="A114" s="82">
        <v>94</v>
      </c>
      <c r="B114" s="68" t="s">
        <v>918</v>
      </c>
      <c r="C114" s="68" t="s">
        <v>2359</v>
      </c>
      <c r="D114" s="82" t="s">
        <v>286</v>
      </c>
      <c r="E114" s="82">
        <v>30</v>
      </c>
      <c r="F114" s="82">
        <v>30</v>
      </c>
      <c r="G114" s="82"/>
      <c r="H114" s="82"/>
      <c r="I114" s="82"/>
      <c r="J114" s="199">
        <v>3360676.0339999995</v>
      </c>
      <c r="K114" s="215">
        <f t="shared" si="30"/>
        <v>100820281.01999998</v>
      </c>
      <c r="L114" s="185">
        <f>J114*F114</f>
        <v>100820281.01999998</v>
      </c>
      <c r="M114" s="186">
        <f>J114*G114</f>
        <v>0</v>
      </c>
      <c r="N114" s="187">
        <f>J114*H114</f>
        <v>0</v>
      </c>
      <c r="O114" s="985">
        <f>J114*I114</f>
        <v>0</v>
      </c>
      <c r="P114" s="986"/>
      <c r="Q114" s="383"/>
      <c r="R114" s="383"/>
      <c r="S114" s="452">
        <f t="shared" si="31"/>
        <v>30</v>
      </c>
      <c r="T114" s="383"/>
    </row>
    <row r="115" spans="1:20" ht="15.75" customHeight="1">
      <c r="A115" s="82">
        <v>95</v>
      </c>
      <c r="B115" s="68" t="s">
        <v>919</v>
      </c>
      <c r="C115" s="68" t="s">
        <v>2360</v>
      </c>
      <c r="D115" s="82" t="s">
        <v>286</v>
      </c>
      <c r="E115" s="82">
        <v>30</v>
      </c>
      <c r="F115" s="82">
        <v>30</v>
      </c>
      <c r="G115" s="82"/>
      <c r="H115" s="82"/>
      <c r="I115" s="82"/>
      <c r="J115" s="199">
        <v>3859394.0759999999</v>
      </c>
      <c r="K115" s="215">
        <f t="shared" si="30"/>
        <v>115781822.28</v>
      </c>
      <c r="L115" s="185">
        <f>J115*F115</f>
        <v>115781822.28</v>
      </c>
      <c r="M115" s="186">
        <f>J115*G115</f>
        <v>0</v>
      </c>
      <c r="N115" s="187">
        <f>J115*H115</f>
        <v>0</v>
      </c>
      <c r="O115" s="985">
        <f>J115*I115</f>
        <v>0</v>
      </c>
      <c r="P115" s="986"/>
      <c r="Q115" s="383"/>
      <c r="R115" s="383"/>
      <c r="S115" s="452">
        <f t="shared" si="31"/>
        <v>30</v>
      </c>
      <c r="T115" s="383"/>
    </row>
    <row r="116" spans="1:20" ht="15.75" customHeight="1">
      <c r="A116" s="1240" t="s">
        <v>920</v>
      </c>
      <c r="B116" s="1182"/>
      <c r="C116" s="1182"/>
      <c r="D116" s="1182"/>
      <c r="E116" s="1182"/>
      <c r="F116" s="1182"/>
      <c r="G116" s="1182"/>
      <c r="H116" s="1182"/>
      <c r="I116" s="1241"/>
      <c r="K116" s="215">
        <f t="shared" si="30"/>
        <v>0</v>
      </c>
      <c r="P116" s="986"/>
      <c r="Q116" s="383"/>
      <c r="R116" s="383"/>
      <c r="S116" s="452"/>
      <c r="T116" s="383"/>
    </row>
    <row r="117" spans="1:20" ht="15.75" customHeight="1">
      <c r="A117" s="82">
        <v>96</v>
      </c>
      <c r="B117" s="82" t="s">
        <v>921</v>
      </c>
      <c r="C117" s="68" t="s">
        <v>2361</v>
      </c>
      <c r="D117" s="82" t="s">
        <v>286</v>
      </c>
      <c r="E117" s="82">
        <v>60</v>
      </c>
      <c r="F117" s="82">
        <f t="shared" ref="F117:F145" si="44">E117*0.4</f>
        <v>24</v>
      </c>
      <c r="G117" s="82">
        <f t="shared" ref="G117:G145" si="45">E117*0.2</f>
        <v>12</v>
      </c>
      <c r="H117" s="82">
        <f t="shared" ref="H117:H145" si="46">E117*0.2</f>
        <v>12</v>
      </c>
      <c r="I117" s="82">
        <f t="shared" ref="I117:I145" si="47">E117*0.2</f>
        <v>12</v>
      </c>
      <c r="J117" s="199">
        <v>20149738.203000005</v>
      </c>
      <c r="K117" s="215">
        <f t="shared" si="30"/>
        <v>1208984292.1800003</v>
      </c>
      <c r="L117" s="185">
        <f t="shared" ref="L117:L145" si="48">J117*F117</f>
        <v>483593716.8720001</v>
      </c>
      <c r="M117" s="186">
        <f t="shared" ref="M117:M145" si="49">J117*G117</f>
        <v>241796858.43600005</v>
      </c>
      <c r="N117" s="187">
        <f t="shared" ref="N117:N145" si="50">J117*H117</f>
        <v>241796858.43600005</v>
      </c>
      <c r="O117" s="985">
        <f t="shared" ref="O117:O145" si="51">J117*I117</f>
        <v>241796858.43600005</v>
      </c>
      <c r="P117" s="986"/>
      <c r="Q117" s="383"/>
      <c r="R117" s="383"/>
      <c r="S117" s="452">
        <f t="shared" si="31"/>
        <v>60</v>
      </c>
      <c r="T117" s="383"/>
    </row>
    <row r="118" spans="1:20" ht="15.75" customHeight="1">
      <c r="A118" s="82">
        <v>97</v>
      </c>
      <c r="B118" s="82" t="s">
        <v>922</v>
      </c>
      <c r="C118" s="68" t="s">
        <v>2362</v>
      </c>
      <c r="D118" s="82" t="s">
        <v>286</v>
      </c>
      <c r="E118" s="82">
        <v>60</v>
      </c>
      <c r="F118" s="82">
        <f t="shared" si="44"/>
        <v>24</v>
      </c>
      <c r="G118" s="82">
        <f t="shared" si="45"/>
        <v>12</v>
      </c>
      <c r="H118" s="82">
        <f t="shared" si="46"/>
        <v>12</v>
      </c>
      <c r="I118" s="82">
        <f t="shared" si="47"/>
        <v>12</v>
      </c>
      <c r="J118" s="199">
        <v>992150.22699999996</v>
      </c>
      <c r="K118" s="215">
        <f t="shared" si="30"/>
        <v>59529013.619999997</v>
      </c>
      <c r="L118" s="185">
        <f t="shared" si="48"/>
        <v>23811605.447999999</v>
      </c>
      <c r="M118" s="186">
        <f t="shared" si="49"/>
        <v>11905802.723999999</v>
      </c>
      <c r="N118" s="187">
        <f t="shared" si="50"/>
        <v>11905802.723999999</v>
      </c>
      <c r="O118" s="985">
        <f t="shared" si="51"/>
        <v>11905802.723999999</v>
      </c>
      <c r="P118" s="986"/>
      <c r="Q118" s="383"/>
      <c r="R118" s="383"/>
      <c r="S118" s="452">
        <f t="shared" si="31"/>
        <v>60</v>
      </c>
      <c r="T118" s="383"/>
    </row>
    <row r="119" spans="1:20" ht="15.75" customHeight="1">
      <c r="A119" s="82">
        <v>98</v>
      </c>
      <c r="B119" s="82" t="s">
        <v>923</v>
      </c>
      <c r="C119" s="68" t="s">
        <v>2363</v>
      </c>
      <c r="D119" s="82" t="s">
        <v>286</v>
      </c>
      <c r="E119" s="82">
        <v>60</v>
      </c>
      <c r="F119" s="82">
        <f t="shared" si="44"/>
        <v>24</v>
      </c>
      <c r="G119" s="82">
        <f t="shared" si="45"/>
        <v>12</v>
      </c>
      <c r="H119" s="82">
        <f t="shared" si="46"/>
        <v>12</v>
      </c>
      <c r="I119" s="82">
        <f t="shared" si="47"/>
        <v>12</v>
      </c>
      <c r="J119" s="199">
        <v>52499.337</v>
      </c>
      <c r="K119" s="215">
        <f t="shared" si="30"/>
        <v>3149960.2199999997</v>
      </c>
      <c r="L119" s="185">
        <f t="shared" si="48"/>
        <v>1259984.088</v>
      </c>
      <c r="M119" s="186">
        <f t="shared" si="49"/>
        <v>629992.04399999999</v>
      </c>
      <c r="N119" s="187">
        <f t="shared" si="50"/>
        <v>629992.04399999999</v>
      </c>
      <c r="O119" s="985">
        <f t="shared" si="51"/>
        <v>629992.04399999999</v>
      </c>
      <c r="P119" s="986"/>
      <c r="Q119" s="383"/>
      <c r="R119" s="383"/>
      <c r="S119" s="452">
        <f t="shared" si="31"/>
        <v>60</v>
      </c>
      <c r="T119" s="383"/>
    </row>
    <row r="120" spans="1:20" ht="15.75" customHeight="1">
      <c r="A120" s="82">
        <v>99</v>
      </c>
      <c r="B120" s="82" t="s">
        <v>924</v>
      </c>
      <c r="C120" s="68" t="s">
        <v>2364</v>
      </c>
      <c r="D120" s="82" t="s">
        <v>286</v>
      </c>
      <c r="E120" s="82">
        <v>120</v>
      </c>
      <c r="F120" s="82">
        <f t="shared" si="44"/>
        <v>48</v>
      </c>
      <c r="G120" s="82">
        <f t="shared" si="45"/>
        <v>24</v>
      </c>
      <c r="H120" s="82">
        <f t="shared" si="46"/>
        <v>24</v>
      </c>
      <c r="I120" s="82">
        <f t="shared" si="47"/>
        <v>24</v>
      </c>
      <c r="J120" s="199">
        <v>48342.498000000007</v>
      </c>
      <c r="K120" s="215">
        <f t="shared" si="30"/>
        <v>5801099.7600000007</v>
      </c>
      <c r="L120" s="185">
        <f t="shared" si="48"/>
        <v>2320439.9040000001</v>
      </c>
      <c r="M120" s="186">
        <f t="shared" si="49"/>
        <v>1160219.952</v>
      </c>
      <c r="N120" s="187">
        <f t="shared" si="50"/>
        <v>1160219.952</v>
      </c>
      <c r="O120" s="985">
        <f t="shared" si="51"/>
        <v>1160219.952</v>
      </c>
      <c r="P120" s="986"/>
      <c r="Q120" s="383"/>
      <c r="R120" s="383"/>
      <c r="S120" s="452">
        <f t="shared" si="31"/>
        <v>120</v>
      </c>
      <c r="T120" s="383"/>
    </row>
    <row r="121" spans="1:20" ht="15.75" customHeight="1">
      <c r="A121" s="82">
        <v>100</v>
      </c>
      <c r="B121" s="82" t="s">
        <v>925</v>
      </c>
      <c r="C121" s="68" t="s">
        <v>2365</v>
      </c>
      <c r="D121" s="82" t="s">
        <v>286</v>
      </c>
      <c r="E121" s="82">
        <v>60</v>
      </c>
      <c r="F121" s="82">
        <f t="shared" si="44"/>
        <v>24</v>
      </c>
      <c r="G121" s="82">
        <f t="shared" si="45"/>
        <v>12</v>
      </c>
      <c r="H121" s="82">
        <f t="shared" si="46"/>
        <v>12</v>
      </c>
      <c r="I121" s="82">
        <f t="shared" si="47"/>
        <v>12</v>
      </c>
      <c r="J121" s="199">
        <v>574824.11900000006</v>
      </c>
      <c r="K121" s="215">
        <f t="shared" si="30"/>
        <v>34489447.140000001</v>
      </c>
      <c r="L121" s="185">
        <f t="shared" si="48"/>
        <v>13795778.856000002</v>
      </c>
      <c r="M121" s="186">
        <f t="shared" si="49"/>
        <v>6897889.4280000012</v>
      </c>
      <c r="N121" s="187">
        <f t="shared" si="50"/>
        <v>6897889.4280000012</v>
      </c>
      <c r="O121" s="985">
        <f t="shared" si="51"/>
        <v>6897889.4280000012</v>
      </c>
      <c r="P121" s="986"/>
      <c r="Q121" s="383"/>
      <c r="R121" s="383"/>
      <c r="S121" s="452">
        <f t="shared" si="31"/>
        <v>60</v>
      </c>
      <c r="T121" s="383"/>
    </row>
    <row r="122" spans="1:20" ht="15.75" customHeight="1">
      <c r="A122" s="82">
        <v>101</v>
      </c>
      <c r="B122" s="23" t="s">
        <v>926</v>
      </c>
      <c r="C122" s="68" t="s">
        <v>2366</v>
      </c>
      <c r="D122" s="82" t="s">
        <v>286</v>
      </c>
      <c r="E122" s="82">
        <v>60</v>
      </c>
      <c r="F122" s="82">
        <f t="shared" si="44"/>
        <v>24</v>
      </c>
      <c r="G122" s="82">
        <f t="shared" si="45"/>
        <v>12</v>
      </c>
      <c r="H122" s="82">
        <f t="shared" si="46"/>
        <v>12</v>
      </c>
      <c r="I122" s="82">
        <f t="shared" si="47"/>
        <v>12</v>
      </c>
      <c r="J122" s="199">
        <v>263882.29800000001</v>
      </c>
      <c r="K122" s="215">
        <f t="shared" si="30"/>
        <v>15832937.880000001</v>
      </c>
      <c r="L122" s="185">
        <f t="shared" si="48"/>
        <v>6333175.1520000007</v>
      </c>
      <c r="M122" s="186">
        <f t="shared" si="49"/>
        <v>3166587.5760000004</v>
      </c>
      <c r="N122" s="187">
        <f t="shared" si="50"/>
        <v>3166587.5760000004</v>
      </c>
      <c r="O122" s="985">
        <f t="shared" si="51"/>
        <v>3166587.5760000004</v>
      </c>
      <c r="P122" s="986"/>
      <c r="Q122" s="383"/>
      <c r="R122" s="383"/>
      <c r="S122" s="452">
        <f t="shared" si="31"/>
        <v>60</v>
      </c>
      <c r="T122" s="383"/>
    </row>
    <row r="123" spans="1:20" ht="15.75" customHeight="1">
      <c r="A123" s="82">
        <v>102</v>
      </c>
      <c r="B123" s="82" t="s">
        <v>927</v>
      </c>
      <c r="C123" s="68" t="s">
        <v>2367</v>
      </c>
      <c r="D123" s="82" t="s">
        <v>286</v>
      </c>
      <c r="E123" s="82">
        <v>80</v>
      </c>
      <c r="F123" s="82">
        <f t="shared" si="44"/>
        <v>32</v>
      </c>
      <c r="G123" s="82">
        <f t="shared" si="45"/>
        <v>16</v>
      </c>
      <c r="H123" s="82">
        <f t="shared" si="46"/>
        <v>16</v>
      </c>
      <c r="I123" s="82">
        <f t="shared" si="47"/>
        <v>16</v>
      </c>
      <c r="J123" s="199">
        <v>512420.21499999991</v>
      </c>
      <c r="K123" s="215">
        <f t="shared" si="30"/>
        <v>40993617.199999996</v>
      </c>
      <c r="L123" s="185">
        <f t="shared" si="48"/>
        <v>16397446.879999997</v>
      </c>
      <c r="M123" s="186">
        <f t="shared" si="49"/>
        <v>8198723.4399999985</v>
      </c>
      <c r="N123" s="187">
        <f t="shared" si="50"/>
        <v>8198723.4399999985</v>
      </c>
      <c r="O123" s="985">
        <f t="shared" si="51"/>
        <v>8198723.4399999985</v>
      </c>
      <c r="P123" s="986"/>
      <c r="Q123" s="383"/>
      <c r="R123" s="383"/>
      <c r="S123" s="452">
        <f t="shared" si="31"/>
        <v>80</v>
      </c>
      <c r="T123" s="383"/>
    </row>
    <row r="124" spans="1:20" ht="15.75" customHeight="1">
      <c r="A124" s="82">
        <v>103</v>
      </c>
      <c r="B124" s="82" t="s">
        <v>928</v>
      </c>
      <c r="C124" s="68" t="s">
        <v>2368</v>
      </c>
      <c r="D124" s="82" t="s">
        <v>286</v>
      </c>
      <c r="E124" s="82">
        <v>60</v>
      </c>
      <c r="F124" s="82">
        <f t="shared" si="44"/>
        <v>24</v>
      </c>
      <c r="G124" s="82">
        <f t="shared" si="45"/>
        <v>12</v>
      </c>
      <c r="H124" s="82">
        <f t="shared" si="46"/>
        <v>12</v>
      </c>
      <c r="I124" s="82">
        <f t="shared" si="47"/>
        <v>12</v>
      </c>
      <c r="J124" s="199">
        <v>149697.52299999999</v>
      </c>
      <c r="K124" s="215">
        <f t="shared" si="30"/>
        <v>8981851.379999999</v>
      </c>
      <c r="L124" s="185">
        <f t="shared" si="48"/>
        <v>3592740.5519999997</v>
      </c>
      <c r="M124" s="186">
        <f t="shared" si="49"/>
        <v>1796370.2759999998</v>
      </c>
      <c r="N124" s="187">
        <f t="shared" si="50"/>
        <v>1796370.2759999998</v>
      </c>
      <c r="O124" s="985">
        <f t="shared" si="51"/>
        <v>1796370.2759999998</v>
      </c>
      <c r="P124" s="986"/>
      <c r="Q124" s="383"/>
      <c r="R124" s="383"/>
      <c r="S124" s="452">
        <f t="shared" si="31"/>
        <v>60</v>
      </c>
      <c r="T124" s="383"/>
    </row>
    <row r="125" spans="1:20" ht="15.75" customHeight="1">
      <c r="A125" s="82">
        <v>104</v>
      </c>
      <c r="B125" s="82" t="s">
        <v>929</v>
      </c>
      <c r="C125" s="68" t="s">
        <v>2369</v>
      </c>
      <c r="D125" s="82" t="s">
        <v>286</v>
      </c>
      <c r="E125" s="82">
        <v>60</v>
      </c>
      <c r="F125" s="82">
        <f t="shared" si="44"/>
        <v>24</v>
      </c>
      <c r="G125" s="82">
        <f t="shared" si="45"/>
        <v>12</v>
      </c>
      <c r="H125" s="82">
        <f t="shared" si="46"/>
        <v>12</v>
      </c>
      <c r="I125" s="82">
        <f t="shared" si="47"/>
        <v>12</v>
      </c>
      <c r="J125" s="199">
        <v>1724574.9949999999</v>
      </c>
      <c r="K125" s="215">
        <f t="shared" si="30"/>
        <v>103474499.69999999</v>
      </c>
      <c r="L125" s="185">
        <f t="shared" si="48"/>
        <v>41389799.879999995</v>
      </c>
      <c r="M125" s="186">
        <f t="shared" si="49"/>
        <v>20694899.939999998</v>
      </c>
      <c r="N125" s="187">
        <f t="shared" si="50"/>
        <v>20694899.939999998</v>
      </c>
      <c r="O125" s="985">
        <f t="shared" si="51"/>
        <v>20694899.939999998</v>
      </c>
      <c r="P125" s="986"/>
      <c r="Q125" s="383"/>
      <c r="R125" s="383"/>
      <c r="S125" s="452">
        <f t="shared" si="31"/>
        <v>60</v>
      </c>
      <c r="T125" s="383"/>
    </row>
    <row r="126" spans="1:20" ht="15.75" customHeight="1">
      <c r="A126" s="82">
        <v>105</v>
      </c>
      <c r="B126" s="82" t="s">
        <v>895</v>
      </c>
      <c r="C126" s="68" t="s">
        <v>2370</v>
      </c>
      <c r="D126" s="82" t="s">
        <v>286</v>
      </c>
      <c r="E126" s="82">
        <v>80</v>
      </c>
      <c r="F126" s="82">
        <f t="shared" si="44"/>
        <v>32</v>
      </c>
      <c r="G126" s="82">
        <f t="shared" si="45"/>
        <v>16</v>
      </c>
      <c r="H126" s="82">
        <f t="shared" si="46"/>
        <v>16</v>
      </c>
      <c r="I126" s="82">
        <f t="shared" si="47"/>
        <v>16</v>
      </c>
      <c r="J126" s="199">
        <v>37206.274999999994</v>
      </c>
      <c r="K126" s="215">
        <f t="shared" si="30"/>
        <v>2976501.9999999995</v>
      </c>
      <c r="L126" s="185">
        <f t="shared" si="48"/>
        <v>1190600.7999999998</v>
      </c>
      <c r="M126" s="186">
        <f t="shared" si="49"/>
        <v>595300.39999999991</v>
      </c>
      <c r="N126" s="187">
        <f t="shared" si="50"/>
        <v>595300.39999999991</v>
      </c>
      <c r="O126" s="985">
        <f t="shared" si="51"/>
        <v>595300.39999999991</v>
      </c>
      <c r="P126" s="986"/>
      <c r="Q126" s="383"/>
      <c r="R126" s="383"/>
      <c r="S126" s="452">
        <f t="shared" si="31"/>
        <v>80</v>
      </c>
      <c r="T126" s="383"/>
    </row>
    <row r="127" spans="1:20" ht="15.75" customHeight="1">
      <c r="A127" s="82">
        <v>106</v>
      </c>
      <c r="B127" s="82" t="s">
        <v>930</v>
      </c>
      <c r="C127" s="68" t="s">
        <v>2371</v>
      </c>
      <c r="D127" s="82" t="s">
        <v>286</v>
      </c>
      <c r="E127" s="82">
        <v>80</v>
      </c>
      <c r="F127" s="82">
        <f t="shared" si="44"/>
        <v>32</v>
      </c>
      <c r="G127" s="82">
        <f t="shared" si="45"/>
        <v>16</v>
      </c>
      <c r="H127" s="82">
        <f t="shared" si="46"/>
        <v>16</v>
      </c>
      <c r="I127" s="82">
        <f t="shared" si="47"/>
        <v>16</v>
      </c>
      <c r="J127" s="199">
        <v>26480.603999999999</v>
      </c>
      <c r="K127" s="215">
        <f t="shared" si="30"/>
        <v>2118448.3199999998</v>
      </c>
      <c r="L127" s="185">
        <f t="shared" si="48"/>
        <v>847379.32799999998</v>
      </c>
      <c r="M127" s="186">
        <f t="shared" si="49"/>
        <v>423689.66399999999</v>
      </c>
      <c r="N127" s="187">
        <f t="shared" si="50"/>
        <v>423689.66399999999</v>
      </c>
      <c r="O127" s="985">
        <f t="shared" si="51"/>
        <v>423689.66399999999</v>
      </c>
      <c r="P127" s="986"/>
      <c r="Q127" s="383"/>
      <c r="R127" s="383"/>
      <c r="S127" s="452">
        <f t="shared" si="31"/>
        <v>80</v>
      </c>
      <c r="T127" s="383"/>
    </row>
    <row r="128" spans="1:20" ht="15.75" customHeight="1">
      <c r="A128" s="82">
        <v>107</v>
      </c>
      <c r="B128" s="82" t="s">
        <v>931</v>
      </c>
      <c r="C128" s="68" t="s">
        <v>2372</v>
      </c>
      <c r="D128" s="82" t="s">
        <v>286</v>
      </c>
      <c r="E128" s="82">
        <v>30</v>
      </c>
      <c r="F128" s="82">
        <f t="shared" si="44"/>
        <v>12</v>
      </c>
      <c r="G128" s="82">
        <f t="shared" si="45"/>
        <v>6</v>
      </c>
      <c r="H128" s="82">
        <f t="shared" si="46"/>
        <v>6</v>
      </c>
      <c r="I128" s="82">
        <f t="shared" si="47"/>
        <v>6</v>
      </c>
      <c r="J128" s="199">
        <v>1617472.2420000001</v>
      </c>
      <c r="K128" s="215">
        <f t="shared" si="30"/>
        <v>48524167.260000005</v>
      </c>
      <c r="L128" s="185">
        <f t="shared" si="48"/>
        <v>19409666.903999999</v>
      </c>
      <c r="M128" s="186">
        <f t="shared" si="49"/>
        <v>9704833.4519999996</v>
      </c>
      <c r="N128" s="187">
        <f t="shared" si="50"/>
        <v>9704833.4519999996</v>
      </c>
      <c r="O128" s="985">
        <f t="shared" si="51"/>
        <v>9704833.4519999996</v>
      </c>
      <c r="P128" s="986"/>
      <c r="Q128" s="383"/>
      <c r="R128" s="383"/>
      <c r="S128" s="452">
        <f t="shared" si="31"/>
        <v>30</v>
      </c>
      <c r="T128" s="383"/>
    </row>
    <row r="129" spans="1:20" ht="15.75" customHeight="1">
      <c r="A129" s="82">
        <v>108</v>
      </c>
      <c r="B129" s="82" t="s">
        <v>932</v>
      </c>
      <c r="C129" s="68" t="s">
        <v>2373</v>
      </c>
      <c r="D129" s="82" t="s">
        <v>286</v>
      </c>
      <c r="E129" s="82">
        <v>60</v>
      </c>
      <c r="F129" s="82">
        <f t="shared" si="44"/>
        <v>24</v>
      </c>
      <c r="G129" s="82">
        <f t="shared" si="45"/>
        <v>12</v>
      </c>
      <c r="H129" s="82">
        <f t="shared" si="46"/>
        <v>12</v>
      </c>
      <c r="I129" s="82">
        <f t="shared" si="47"/>
        <v>12</v>
      </c>
      <c r="J129" s="199">
        <v>2068258.338</v>
      </c>
      <c r="K129" s="215">
        <f t="shared" si="30"/>
        <v>124095500.28</v>
      </c>
      <c r="L129" s="185">
        <f t="shared" si="48"/>
        <v>49638200.112000003</v>
      </c>
      <c r="M129" s="186">
        <f t="shared" si="49"/>
        <v>24819100.056000002</v>
      </c>
      <c r="N129" s="187">
        <f t="shared" si="50"/>
        <v>24819100.056000002</v>
      </c>
      <c r="O129" s="985">
        <f t="shared" si="51"/>
        <v>24819100.056000002</v>
      </c>
      <c r="P129" s="986"/>
      <c r="Q129" s="383"/>
      <c r="R129" s="383"/>
      <c r="S129" s="452">
        <f t="shared" si="31"/>
        <v>60</v>
      </c>
      <c r="T129" s="383"/>
    </row>
    <row r="130" spans="1:20" ht="15.75" customHeight="1">
      <c r="A130" s="82">
        <v>109</v>
      </c>
      <c r="B130" s="82" t="s">
        <v>933</v>
      </c>
      <c r="C130" s="68" t="s">
        <v>2374</v>
      </c>
      <c r="D130" s="82" t="s">
        <v>286</v>
      </c>
      <c r="E130" s="82">
        <v>60</v>
      </c>
      <c r="F130" s="82">
        <f t="shared" si="44"/>
        <v>24</v>
      </c>
      <c r="G130" s="82">
        <f t="shared" si="45"/>
        <v>12</v>
      </c>
      <c r="H130" s="82">
        <f t="shared" si="46"/>
        <v>12</v>
      </c>
      <c r="I130" s="82">
        <f t="shared" si="47"/>
        <v>12</v>
      </c>
      <c r="J130" s="199">
        <v>3863191.682</v>
      </c>
      <c r="K130" s="215">
        <f t="shared" si="30"/>
        <v>231791500.92000002</v>
      </c>
      <c r="L130" s="185">
        <f t="shared" si="48"/>
        <v>92716600.368000001</v>
      </c>
      <c r="M130" s="186">
        <f t="shared" si="49"/>
        <v>46358300.184</v>
      </c>
      <c r="N130" s="187">
        <f t="shared" si="50"/>
        <v>46358300.184</v>
      </c>
      <c r="O130" s="985">
        <f t="shared" si="51"/>
        <v>46358300.184</v>
      </c>
      <c r="P130" s="986"/>
      <c r="Q130" s="383"/>
      <c r="R130" s="383"/>
      <c r="S130" s="452">
        <f t="shared" si="31"/>
        <v>60</v>
      </c>
      <c r="T130" s="383"/>
    </row>
    <row r="131" spans="1:20" ht="15.75" customHeight="1">
      <c r="A131" s="82">
        <v>110</v>
      </c>
      <c r="B131" s="82" t="s">
        <v>934</v>
      </c>
      <c r="C131" s="68" t="s">
        <v>2375</v>
      </c>
      <c r="D131" s="82" t="s">
        <v>286</v>
      </c>
      <c r="E131" s="82">
        <v>60</v>
      </c>
      <c r="F131" s="82">
        <f t="shared" si="44"/>
        <v>24</v>
      </c>
      <c r="G131" s="82">
        <f t="shared" si="45"/>
        <v>12</v>
      </c>
      <c r="H131" s="82">
        <f t="shared" si="46"/>
        <v>12</v>
      </c>
      <c r="I131" s="82">
        <f t="shared" si="47"/>
        <v>12</v>
      </c>
      <c r="J131" s="199">
        <v>244791.63</v>
      </c>
      <c r="K131" s="215">
        <f t="shared" si="30"/>
        <v>14687497.800000001</v>
      </c>
      <c r="L131" s="185">
        <f t="shared" si="48"/>
        <v>5874999.1200000001</v>
      </c>
      <c r="M131" s="186">
        <f t="shared" si="49"/>
        <v>2937499.56</v>
      </c>
      <c r="N131" s="187">
        <f t="shared" si="50"/>
        <v>2937499.56</v>
      </c>
      <c r="O131" s="985">
        <f t="shared" si="51"/>
        <v>2937499.56</v>
      </c>
      <c r="P131" s="986"/>
      <c r="Q131" s="383"/>
      <c r="R131" s="383"/>
      <c r="S131" s="452">
        <f t="shared" si="31"/>
        <v>60</v>
      </c>
      <c r="T131" s="383"/>
    </row>
    <row r="132" spans="1:20" ht="15.75" customHeight="1">
      <c r="A132" s="82">
        <v>111</v>
      </c>
      <c r="B132" s="82" t="s">
        <v>935</v>
      </c>
      <c r="C132" s="68" t="s">
        <v>2376</v>
      </c>
      <c r="D132" s="82" t="s">
        <v>286</v>
      </c>
      <c r="E132" s="82">
        <v>60</v>
      </c>
      <c r="F132" s="82">
        <f t="shared" si="44"/>
        <v>24</v>
      </c>
      <c r="G132" s="82">
        <f t="shared" si="45"/>
        <v>12</v>
      </c>
      <c r="H132" s="82">
        <f t="shared" si="46"/>
        <v>12</v>
      </c>
      <c r="I132" s="82">
        <f t="shared" si="47"/>
        <v>12</v>
      </c>
      <c r="J132" s="199">
        <v>24787.077000000005</v>
      </c>
      <c r="K132" s="215">
        <f t="shared" ref="K132:K195" si="52">J132*E132</f>
        <v>1487224.6200000003</v>
      </c>
      <c r="L132" s="185">
        <f t="shared" si="48"/>
        <v>594889.84800000011</v>
      </c>
      <c r="M132" s="186">
        <f t="shared" si="49"/>
        <v>297444.92400000006</v>
      </c>
      <c r="N132" s="187">
        <f t="shared" si="50"/>
        <v>297444.92400000006</v>
      </c>
      <c r="O132" s="985">
        <f t="shared" si="51"/>
        <v>297444.92400000006</v>
      </c>
      <c r="P132" s="986"/>
      <c r="Q132" s="383"/>
      <c r="R132" s="383"/>
      <c r="S132" s="452">
        <f t="shared" si="31"/>
        <v>60</v>
      </c>
      <c r="T132" s="383"/>
    </row>
    <row r="133" spans="1:20" ht="15.75" customHeight="1">
      <c r="A133" s="82">
        <v>112</v>
      </c>
      <c r="B133" s="82" t="s">
        <v>936</v>
      </c>
      <c r="C133" s="68" t="s">
        <v>2377</v>
      </c>
      <c r="D133" s="82" t="s">
        <v>286</v>
      </c>
      <c r="E133" s="82">
        <v>60</v>
      </c>
      <c r="F133" s="82">
        <f t="shared" si="44"/>
        <v>24</v>
      </c>
      <c r="G133" s="82">
        <f t="shared" si="45"/>
        <v>12</v>
      </c>
      <c r="H133" s="82">
        <f t="shared" si="46"/>
        <v>12</v>
      </c>
      <c r="I133" s="82">
        <f t="shared" si="47"/>
        <v>12</v>
      </c>
      <c r="J133" s="199">
        <v>496511.32499999995</v>
      </c>
      <c r="K133" s="215">
        <f t="shared" si="52"/>
        <v>29790679.499999996</v>
      </c>
      <c r="L133" s="185">
        <f t="shared" si="48"/>
        <v>11916271.799999999</v>
      </c>
      <c r="M133" s="186">
        <f t="shared" si="49"/>
        <v>5958135.8999999994</v>
      </c>
      <c r="N133" s="187">
        <f t="shared" si="50"/>
        <v>5958135.8999999994</v>
      </c>
      <c r="O133" s="985">
        <f t="shared" si="51"/>
        <v>5958135.8999999994</v>
      </c>
      <c r="P133" s="986"/>
      <c r="Q133" s="383"/>
      <c r="R133" s="383"/>
      <c r="S133" s="452">
        <f t="shared" ref="S133:S196" si="53">F133+G133+H133+I133-R133</f>
        <v>60</v>
      </c>
      <c r="T133" s="383"/>
    </row>
    <row r="134" spans="1:20" ht="15.75" customHeight="1">
      <c r="A134" s="82">
        <v>113</v>
      </c>
      <c r="B134" s="82" t="s">
        <v>937</v>
      </c>
      <c r="C134" s="68" t="s">
        <v>2378</v>
      </c>
      <c r="D134" s="82" t="s">
        <v>286</v>
      </c>
      <c r="E134" s="82">
        <v>100</v>
      </c>
      <c r="F134" s="82">
        <f t="shared" si="44"/>
        <v>40</v>
      </c>
      <c r="G134" s="82">
        <f t="shared" si="45"/>
        <v>20</v>
      </c>
      <c r="H134" s="82">
        <f t="shared" si="46"/>
        <v>20</v>
      </c>
      <c r="I134" s="82">
        <f t="shared" si="47"/>
        <v>20</v>
      </c>
      <c r="J134" s="199">
        <v>615828</v>
      </c>
      <c r="K134" s="215">
        <f t="shared" si="52"/>
        <v>61582800</v>
      </c>
      <c r="L134" s="185">
        <f t="shared" si="48"/>
        <v>24633120</v>
      </c>
      <c r="M134" s="186">
        <f t="shared" si="49"/>
        <v>12316560</v>
      </c>
      <c r="N134" s="187">
        <f t="shared" si="50"/>
        <v>12316560</v>
      </c>
      <c r="O134" s="985">
        <f t="shared" si="51"/>
        <v>12316560</v>
      </c>
      <c r="P134" s="986"/>
      <c r="Q134" s="383"/>
      <c r="R134" s="383"/>
      <c r="S134" s="452">
        <f t="shared" si="53"/>
        <v>100</v>
      </c>
      <c r="T134" s="383"/>
    </row>
    <row r="135" spans="1:20" ht="15.75" customHeight="1">
      <c r="A135" s="82">
        <v>114</v>
      </c>
      <c r="B135" s="82" t="s">
        <v>938</v>
      </c>
      <c r="C135" s="68" t="s">
        <v>2379</v>
      </c>
      <c r="D135" s="82" t="s">
        <v>286</v>
      </c>
      <c r="E135" s="82">
        <v>40</v>
      </c>
      <c r="F135" s="82">
        <f t="shared" si="44"/>
        <v>16</v>
      </c>
      <c r="G135" s="82">
        <f t="shared" si="45"/>
        <v>8</v>
      </c>
      <c r="H135" s="82">
        <f t="shared" si="46"/>
        <v>8</v>
      </c>
      <c r="I135" s="82">
        <f t="shared" si="47"/>
        <v>8</v>
      </c>
      <c r="J135" s="199">
        <v>1601306.7569999998</v>
      </c>
      <c r="K135" s="215">
        <f t="shared" si="52"/>
        <v>64052270.279999986</v>
      </c>
      <c r="L135" s="185">
        <f t="shared" si="48"/>
        <v>25620908.111999996</v>
      </c>
      <c r="M135" s="186">
        <f t="shared" si="49"/>
        <v>12810454.055999998</v>
      </c>
      <c r="N135" s="187">
        <f t="shared" si="50"/>
        <v>12810454.055999998</v>
      </c>
      <c r="O135" s="985">
        <f t="shared" si="51"/>
        <v>12810454.055999998</v>
      </c>
      <c r="P135" s="986"/>
      <c r="Q135" s="383"/>
      <c r="R135" s="383"/>
      <c r="S135" s="452">
        <f t="shared" si="53"/>
        <v>40</v>
      </c>
      <c r="T135" s="383"/>
    </row>
    <row r="136" spans="1:20" ht="15.75" customHeight="1">
      <c r="A136" s="82">
        <v>115</v>
      </c>
      <c r="B136" s="82" t="s">
        <v>939</v>
      </c>
      <c r="C136" s="68" t="s">
        <v>2380</v>
      </c>
      <c r="D136" s="82" t="s">
        <v>286</v>
      </c>
      <c r="E136" s="82">
        <v>2400</v>
      </c>
      <c r="F136" s="82">
        <f t="shared" si="44"/>
        <v>960</v>
      </c>
      <c r="G136" s="82">
        <f t="shared" si="45"/>
        <v>480</v>
      </c>
      <c r="H136" s="82">
        <f t="shared" si="46"/>
        <v>480</v>
      </c>
      <c r="I136" s="82">
        <f t="shared" si="47"/>
        <v>480</v>
      </c>
      <c r="J136" s="199">
        <v>1392079.1940000001</v>
      </c>
      <c r="K136" s="215">
        <f t="shared" si="52"/>
        <v>3340990065.6000004</v>
      </c>
      <c r="L136" s="185">
        <f t="shared" si="48"/>
        <v>1336396026.2400002</v>
      </c>
      <c r="M136" s="186">
        <f t="shared" si="49"/>
        <v>668198013.12000012</v>
      </c>
      <c r="N136" s="187">
        <f t="shared" si="50"/>
        <v>668198013.12000012</v>
      </c>
      <c r="O136" s="985">
        <f t="shared" si="51"/>
        <v>668198013.12000012</v>
      </c>
      <c r="P136" s="986"/>
      <c r="Q136" s="383"/>
      <c r="R136" s="383"/>
      <c r="S136" s="452">
        <f t="shared" si="53"/>
        <v>2400</v>
      </c>
      <c r="T136" s="383"/>
    </row>
    <row r="137" spans="1:20" ht="15.75" customHeight="1">
      <c r="A137" s="82">
        <v>116</v>
      </c>
      <c r="B137" s="82" t="s">
        <v>940</v>
      </c>
      <c r="C137" s="68" t="s">
        <v>2381</v>
      </c>
      <c r="D137" s="82" t="s">
        <v>286</v>
      </c>
      <c r="E137" s="82">
        <v>60</v>
      </c>
      <c r="F137" s="82">
        <f t="shared" si="44"/>
        <v>24</v>
      </c>
      <c r="G137" s="82">
        <f t="shared" si="45"/>
        <v>12</v>
      </c>
      <c r="H137" s="82">
        <f t="shared" si="46"/>
        <v>12</v>
      </c>
      <c r="I137" s="82">
        <f t="shared" si="47"/>
        <v>12</v>
      </c>
      <c r="J137" s="199">
        <v>4605521.0170000009</v>
      </c>
      <c r="K137" s="215">
        <f t="shared" si="52"/>
        <v>276331261.02000004</v>
      </c>
      <c r="L137" s="185">
        <f t="shared" si="48"/>
        <v>110532504.40800002</v>
      </c>
      <c r="M137" s="186">
        <f t="shared" si="49"/>
        <v>55266252.204000011</v>
      </c>
      <c r="N137" s="187">
        <f t="shared" si="50"/>
        <v>55266252.204000011</v>
      </c>
      <c r="O137" s="985">
        <f t="shared" si="51"/>
        <v>55266252.204000011</v>
      </c>
      <c r="P137" s="986"/>
      <c r="Q137" s="383"/>
      <c r="R137" s="383"/>
      <c r="S137" s="452">
        <f t="shared" si="53"/>
        <v>60</v>
      </c>
      <c r="T137" s="383"/>
    </row>
    <row r="138" spans="1:20" ht="15.75" customHeight="1">
      <c r="A138" s="82">
        <v>117</v>
      </c>
      <c r="B138" s="82" t="s">
        <v>941</v>
      </c>
      <c r="C138" s="68" t="s">
        <v>2382</v>
      </c>
      <c r="D138" s="82" t="s">
        <v>286</v>
      </c>
      <c r="E138" s="82">
        <v>100</v>
      </c>
      <c r="F138" s="82">
        <f t="shared" si="44"/>
        <v>40</v>
      </c>
      <c r="G138" s="82">
        <f t="shared" si="45"/>
        <v>20</v>
      </c>
      <c r="H138" s="82">
        <f t="shared" si="46"/>
        <v>20</v>
      </c>
      <c r="I138" s="82">
        <f t="shared" si="47"/>
        <v>20</v>
      </c>
      <c r="J138" s="199">
        <v>268808.92200000002</v>
      </c>
      <c r="K138" s="215">
        <f t="shared" si="52"/>
        <v>26880892.200000003</v>
      </c>
      <c r="L138" s="185">
        <f t="shared" si="48"/>
        <v>10752356.880000001</v>
      </c>
      <c r="M138" s="186">
        <f t="shared" si="49"/>
        <v>5376178.4400000004</v>
      </c>
      <c r="N138" s="187">
        <f t="shared" si="50"/>
        <v>5376178.4400000004</v>
      </c>
      <c r="O138" s="985">
        <f t="shared" si="51"/>
        <v>5376178.4400000004</v>
      </c>
      <c r="P138" s="986"/>
      <c r="Q138" s="383"/>
      <c r="R138" s="383"/>
      <c r="S138" s="452">
        <f t="shared" si="53"/>
        <v>100</v>
      </c>
      <c r="T138" s="383"/>
    </row>
    <row r="139" spans="1:20" ht="15.75" customHeight="1">
      <c r="A139" s="82">
        <v>118</v>
      </c>
      <c r="B139" s="82" t="s">
        <v>942</v>
      </c>
      <c r="C139" s="68" t="s">
        <v>2383</v>
      </c>
      <c r="D139" s="82" t="s">
        <v>286</v>
      </c>
      <c r="E139" s="82">
        <v>40</v>
      </c>
      <c r="F139" s="82">
        <f t="shared" si="44"/>
        <v>16</v>
      </c>
      <c r="G139" s="82">
        <f t="shared" si="45"/>
        <v>8</v>
      </c>
      <c r="H139" s="82">
        <f t="shared" si="46"/>
        <v>8</v>
      </c>
      <c r="I139" s="82">
        <f t="shared" si="47"/>
        <v>8</v>
      </c>
      <c r="J139" s="199">
        <v>78979.940999999992</v>
      </c>
      <c r="K139" s="215">
        <f t="shared" si="52"/>
        <v>3159197.6399999997</v>
      </c>
      <c r="L139" s="185">
        <f t="shared" si="48"/>
        <v>1263679.0559999999</v>
      </c>
      <c r="M139" s="186">
        <f t="shared" si="49"/>
        <v>631839.52799999993</v>
      </c>
      <c r="N139" s="187">
        <f t="shared" si="50"/>
        <v>631839.52799999993</v>
      </c>
      <c r="O139" s="985">
        <f t="shared" si="51"/>
        <v>631839.52799999993</v>
      </c>
      <c r="P139" s="986"/>
      <c r="Q139" s="383"/>
      <c r="R139" s="383"/>
      <c r="S139" s="452">
        <f t="shared" si="53"/>
        <v>40</v>
      </c>
      <c r="T139" s="383"/>
    </row>
    <row r="140" spans="1:20" ht="15.75" customHeight="1">
      <c r="A140" s="82">
        <v>119</v>
      </c>
      <c r="B140" s="82" t="s">
        <v>943</v>
      </c>
      <c r="C140" s="68" t="s">
        <v>2384</v>
      </c>
      <c r="D140" s="82" t="s">
        <v>286</v>
      </c>
      <c r="E140" s="82">
        <v>100</v>
      </c>
      <c r="F140" s="82">
        <f t="shared" si="44"/>
        <v>40</v>
      </c>
      <c r="G140" s="82">
        <f t="shared" si="45"/>
        <v>20</v>
      </c>
      <c r="H140" s="82">
        <f t="shared" si="46"/>
        <v>20</v>
      </c>
      <c r="I140" s="82">
        <f t="shared" si="47"/>
        <v>20</v>
      </c>
      <c r="J140" s="199">
        <v>50446.577000000005</v>
      </c>
      <c r="K140" s="215">
        <f t="shared" si="52"/>
        <v>5044657.7</v>
      </c>
      <c r="L140" s="185">
        <f t="shared" si="48"/>
        <v>2017863.08</v>
      </c>
      <c r="M140" s="186">
        <f t="shared" si="49"/>
        <v>1008931.54</v>
      </c>
      <c r="N140" s="187">
        <f t="shared" si="50"/>
        <v>1008931.54</v>
      </c>
      <c r="O140" s="985">
        <f t="shared" si="51"/>
        <v>1008931.54</v>
      </c>
      <c r="P140" s="986"/>
      <c r="Q140" s="383"/>
      <c r="R140" s="383"/>
      <c r="S140" s="452">
        <f t="shared" si="53"/>
        <v>100</v>
      </c>
      <c r="T140" s="383"/>
    </row>
    <row r="141" spans="1:20" ht="15.75" customHeight="1">
      <c r="A141" s="82">
        <v>120</v>
      </c>
      <c r="B141" s="82" t="s">
        <v>944</v>
      </c>
      <c r="C141" s="68" t="s">
        <v>2385</v>
      </c>
      <c r="D141" s="82" t="s">
        <v>286</v>
      </c>
      <c r="E141" s="82">
        <v>100</v>
      </c>
      <c r="F141" s="82">
        <f t="shared" si="44"/>
        <v>40</v>
      </c>
      <c r="G141" s="82">
        <f t="shared" si="45"/>
        <v>20</v>
      </c>
      <c r="H141" s="82">
        <f t="shared" si="46"/>
        <v>20</v>
      </c>
      <c r="I141" s="82">
        <f t="shared" si="47"/>
        <v>20</v>
      </c>
      <c r="J141" s="199">
        <v>24787.077000000005</v>
      </c>
      <c r="K141" s="215">
        <f t="shared" si="52"/>
        <v>2478707.7000000007</v>
      </c>
      <c r="L141" s="185">
        <f t="shared" si="48"/>
        <v>991483.08000000019</v>
      </c>
      <c r="M141" s="186">
        <f t="shared" si="49"/>
        <v>495741.5400000001</v>
      </c>
      <c r="N141" s="187">
        <f t="shared" si="50"/>
        <v>495741.5400000001</v>
      </c>
      <c r="O141" s="985">
        <f t="shared" si="51"/>
        <v>495741.5400000001</v>
      </c>
      <c r="P141" s="986"/>
      <c r="Q141" s="383"/>
      <c r="R141" s="383"/>
      <c r="S141" s="452">
        <f t="shared" si="53"/>
        <v>100</v>
      </c>
      <c r="T141" s="383"/>
    </row>
    <row r="142" spans="1:20" ht="15.75" customHeight="1">
      <c r="A142" s="82">
        <v>121</v>
      </c>
      <c r="B142" s="24" t="s">
        <v>945</v>
      </c>
      <c r="C142" s="68" t="s">
        <v>2386</v>
      </c>
      <c r="D142" s="82" t="s">
        <v>286</v>
      </c>
      <c r="E142" s="82">
        <v>60</v>
      </c>
      <c r="F142" s="82">
        <f t="shared" si="44"/>
        <v>24</v>
      </c>
      <c r="G142" s="82">
        <f t="shared" si="45"/>
        <v>12</v>
      </c>
      <c r="H142" s="82">
        <f t="shared" si="46"/>
        <v>12</v>
      </c>
      <c r="I142" s="82">
        <f t="shared" si="47"/>
        <v>12</v>
      </c>
      <c r="J142" s="199">
        <v>56604.857000000004</v>
      </c>
      <c r="K142" s="215">
        <f t="shared" si="52"/>
        <v>3396291.4200000004</v>
      </c>
      <c r="L142" s="185">
        <f t="shared" si="48"/>
        <v>1358516.568</v>
      </c>
      <c r="M142" s="186">
        <f t="shared" si="49"/>
        <v>679258.28399999999</v>
      </c>
      <c r="N142" s="187">
        <f t="shared" si="50"/>
        <v>679258.28399999999</v>
      </c>
      <c r="O142" s="985">
        <f t="shared" si="51"/>
        <v>679258.28399999999</v>
      </c>
      <c r="P142" s="986"/>
      <c r="Q142" s="383"/>
      <c r="R142" s="383"/>
      <c r="S142" s="452">
        <f t="shared" si="53"/>
        <v>60</v>
      </c>
      <c r="T142" s="383"/>
    </row>
    <row r="143" spans="1:20" ht="15.75" customHeight="1">
      <c r="A143" s="82">
        <v>122</v>
      </c>
      <c r="B143" s="24" t="s">
        <v>946</v>
      </c>
      <c r="C143" s="51" t="s">
        <v>2387</v>
      </c>
      <c r="D143" s="82" t="s">
        <v>286</v>
      </c>
      <c r="E143" s="82">
        <v>60</v>
      </c>
      <c r="F143" s="82">
        <f t="shared" si="44"/>
        <v>24</v>
      </c>
      <c r="G143" s="82">
        <f t="shared" si="45"/>
        <v>12</v>
      </c>
      <c r="H143" s="82">
        <f t="shared" si="46"/>
        <v>12</v>
      </c>
      <c r="I143" s="82">
        <f t="shared" si="47"/>
        <v>12</v>
      </c>
      <c r="J143" s="199">
        <v>926359.26899999997</v>
      </c>
      <c r="K143" s="215">
        <f t="shared" si="52"/>
        <v>55581556.140000001</v>
      </c>
      <c r="L143" s="185">
        <f t="shared" si="48"/>
        <v>22232622.456</v>
      </c>
      <c r="M143" s="186">
        <f t="shared" si="49"/>
        <v>11116311.228</v>
      </c>
      <c r="N143" s="187">
        <f t="shared" si="50"/>
        <v>11116311.228</v>
      </c>
      <c r="O143" s="985">
        <f t="shared" si="51"/>
        <v>11116311.228</v>
      </c>
      <c r="P143" s="986"/>
      <c r="Q143" s="383"/>
      <c r="R143" s="383"/>
      <c r="S143" s="452">
        <f t="shared" si="53"/>
        <v>60</v>
      </c>
      <c r="T143" s="383"/>
    </row>
    <row r="144" spans="1:20" ht="15.75" customHeight="1">
      <c r="A144" s="82">
        <v>123</v>
      </c>
      <c r="B144" s="24" t="s">
        <v>945</v>
      </c>
      <c r="C144" s="51" t="s">
        <v>2388</v>
      </c>
      <c r="D144" s="82" t="s">
        <v>286</v>
      </c>
      <c r="E144" s="82">
        <v>60</v>
      </c>
      <c r="F144" s="82">
        <f t="shared" si="44"/>
        <v>24</v>
      </c>
      <c r="G144" s="82">
        <f t="shared" si="45"/>
        <v>12</v>
      </c>
      <c r="H144" s="82">
        <f t="shared" si="46"/>
        <v>12</v>
      </c>
      <c r="I144" s="82">
        <f t="shared" si="47"/>
        <v>12</v>
      </c>
      <c r="J144" s="199">
        <v>83957.883999999991</v>
      </c>
      <c r="K144" s="215">
        <f t="shared" si="52"/>
        <v>5037473.0399999991</v>
      </c>
      <c r="L144" s="185">
        <f t="shared" si="48"/>
        <v>2014989.2159999998</v>
      </c>
      <c r="M144" s="186">
        <f t="shared" si="49"/>
        <v>1007494.6079999999</v>
      </c>
      <c r="N144" s="187">
        <f t="shared" si="50"/>
        <v>1007494.6079999999</v>
      </c>
      <c r="O144" s="985">
        <f t="shared" si="51"/>
        <v>1007494.6079999999</v>
      </c>
      <c r="P144" s="986"/>
      <c r="Q144" s="383"/>
      <c r="R144" s="383"/>
      <c r="S144" s="452">
        <f t="shared" si="53"/>
        <v>60</v>
      </c>
      <c r="T144" s="383"/>
    </row>
    <row r="145" spans="1:20" ht="15.75" customHeight="1">
      <c r="A145" s="82">
        <v>124</v>
      </c>
      <c r="B145" s="24" t="s">
        <v>946</v>
      </c>
      <c r="C145" s="51" t="s">
        <v>2389</v>
      </c>
      <c r="D145" s="82" t="s">
        <v>286</v>
      </c>
      <c r="E145" s="82">
        <v>60</v>
      </c>
      <c r="F145" s="82">
        <f t="shared" si="44"/>
        <v>24</v>
      </c>
      <c r="G145" s="82">
        <f t="shared" si="45"/>
        <v>12</v>
      </c>
      <c r="H145" s="82">
        <f t="shared" si="46"/>
        <v>12</v>
      </c>
      <c r="I145" s="82">
        <f t="shared" si="47"/>
        <v>12</v>
      </c>
      <c r="J145" s="199">
        <v>1329983.2039999999</v>
      </c>
      <c r="K145" s="215">
        <f t="shared" si="52"/>
        <v>79798992.239999995</v>
      </c>
      <c r="L145" s="185">
        <f t="shared" si="48"/>
        <v>31919596.895999998</v>
      </c>
      <c r="M145" s="186">
        <f t="shared" si="49"/>
        <v>15959798.447999999</v>
      </c>
      <c r="N145" s="187">
        <f t="shared" si="50"/>
        <v>15959798.447999999</v>
      </c>
      <c r="O145" s="985">
        <f t="shared" si="51"/>
        <v>15959798.447999999</v>
      </c>
      <c r="P145" s="986"/>
      <c r="Q145" s="452"/>
      <c r="R145" s="452"/>
      <c r="S145" s="452">
        <f t="shared" si="53"/>
        <v>60</v>
      </c>
      <c r="T145" s="452"/>
    </row>
    <row r="146" spans="1:20" ht="15.75" customHeight="1">
      <c r="A146" s="1240" t="s">
        <v>947</v>
      </c>
      <c r="B146" s="1182"/>
      <c r="C146" s="1182"/>
      <c r="D146" s="1182"/>
      <c r="E146" s="1182"/>
      <c r="F146" s="1182"/>
      <c r="G146" s="1182"/>
      <c r="H146" s="1182"/>
      <c r="I146" s="1241"/>
      <c r="K146" s="215">
        <f t="shared" si="52"/>
        <v>0</v>
      </c>
      <c r="P146" s="986"/>
      <c r="Q146" s="452"/>
      <c r="R146" s="452"/>
      <c r="S146" s="452"/>
      <c r="T146" s="452"/>
    </row>
    <row r="147" spans="1:20" ht="15.75" customHeight="1">
      <c r="A147" s="82">
        <v>125</v>
      </c>
      <c r="B147" s="24" t="s">
        <v>948</v>
      </c>
      <c r="C147" s="51" t="s">
        <v>2390</v>
      </c>
      <c r="D147" s="82" t="s">
        <v>286</v>
      </c>
      <c r="E147" s="82">
        <v>20</v>
      </c>
      <c r="F147" s="82">
        <v>20</v>
      </c>
      <c r="G147" s="82"/>
      <c r="H147" s="82"/>
      <c r="I147" s="82"/>
      <c r="J147" s="199">
        <v>24467462.267999995</v>
      </c>
      <c r="K147" s="215">
        <f t="shared" si="52"/>
        <v>489349245.3599999</v>
      </c>
      <c r="L147" s="185">
        <f t="shared" ref="L147:L158" si="54">J147*F147</f>
        <v>489349245.3599999</v>
      </c>
      <c r="M147" s="186">
        <f t="shared" ref="M147:M158" si="55">J147*G147</f>
        <v>0</v>
      </c>
      <c r="N147" s="187">
        <f t="shared" ref="N147:N158" si="56">J147*H147</f>
        <v>0</v>
      </c>
      <c r="O147" s="985">
        <f t="shared" ref="O147:O158" si="57">J147*I147</f>
        <v>0</v>
      </c>
      <c r="P147" s="984" t="s">
        <v>4742</v>
      </c>
      <c r="Q147" s="452" t="s">
        <v>4809</v>
      </c>
      <c r="R147" s="452">
        <v>3</v>
      </c>
      <c r="S147" s="452">
        <f t="shared" si="53"/>
        <v>17</v>
      </c>
      <c r="T147" s="189">
        <v>58194000</v>
      </c>
    </row>
    <row r="148" spans="1:20" ht="15.75" customHeight="1">
      <c r="A148" s="82">
        <v>126</v>
      </c>
      <c r="B148" s="24" t="s">
        <v>949</v>
      </c>
      <c r="C148" s="51" t="s">
        <v>2391</v>
      </c>
      <c r="D148" s="82" t="s">
        <v>286</v>
      </c>
      <c r="E148" s="82">
        <v>20</v>
      </c>
      <c r="F148" s="82">
        <v>20</v>
      </c>
      <c r="G148" s="82"/>
      <c r="H148" s="82"/>
      <c r="I148" s="82"/>
      <c r="J148" s="199">
        <v>1590170.534</v>
      </c>
      <c r="K148" s="215">
        <f t="shared" si="52"/>
        <v>31803410.68</v>
      </c>
      <c r="L148" s="185">
        <f t="shared" si="54"/>
        <v>31803410.68</v>
      </c>
      <c r="M148" s="186">
        <f t="shared" si="55"/>
        <v>0</v>
      </c>
      <c r="N148" s="187">
        <f t="shared" si="56"/>
        <v>0</v>
      </c>
      <c r="O148" s="985">
        <f t="shared" si="57"/>
        <v>0</v>
      </c>
      <c r="P148" s="986"/>
      <c r="Q148" s="452"/>
      <c r="R148" s="452"/>
      <c r="S148" s="452">
        <f t="shared" si="53"/>
        <v>20</v>
      </c>
      <c r="T148" s="189"/>
    </row>
    <row r="149" spans="1:20" ht="15.75" customHeight="1">
      <c r="A149" s="82">
        <v>127</v>
      </c>
      <c r="B149" s="24" t="s">
        <v>950</v>
      </c>
      <c r="C149" s="51" t="s">
        <v>2392</v>
      </c>
      <c r="D149" s="82" t="s">
        <v>286</v>
      </c>
      <c r="E149" s="82">
        <v>20</v>
      </c>
      <c r="F149" s="82">
        <v>20</v>
      </c>
      <c r="G149" s="82"/>
      <c r="H149" s="82"/>
      <c r="I149" s="82"/>
      <c r="J149" s="199">
        <v>685724.47799999989</v>
      </c>
      <c r="K149" s="215">
        <f t="shared" si="52"/>
        <v>13714489.559999999</v>
      </c>
      <c r="L149" s="185">
        <f t="shared" si="54"/>
        <v>13714489.559999999</v>
      </c>
      <c r="M149" s="186">
        <f t="shared" si="55"/>
        <v>0</v>
      </c>
      <c r="N149" s="187">
        <f t="shared" si="56"/>
        <v>0</v>
      </c>
      <c r="O149" s="985">
        <f t="shared" si="57"/>
        <v>0</v>
      </c>
      <c r="P149" s="986"/>
      <c r="Q149" s="452"/>
      <c r="R149" s="452"/>
      <c r="S149" s="452">
        <f t="shared" si="53"/>
        <v>20</v>
      </c>
      <c r="T149" s="189"/>
    </row>
    <row r="150" spans="1:20" ht="15.75" customHeight="1">
      <c r="A150" s="82">
        <v>128</v>
      </c>
      <c r="B150" s="24" t="s">
        <v>951</v>
      </c>
      <c r="C150" s="51" t="s">
        <v>2393</v>
      </c>
      <c r="D150" s="82" t="s">
        <v>286</v>
      </c>
      <c r="E150" s="82">
        <v>20</v>
      </c>
      <c r="F150" s="82">
        <v>20</v>
      </c>
      <c r="G150" s="82"/>
      <c r="H150" s="82"/>
      <c r="I150" s="82"/>
      <c r="J150" s="199">
        <v>1550911.4990000001</v>
      </c>
      <c r="K150" s="215">
        <f t="shared" si="52"/>
        <v>31018229.98</v>
      </c>
      <c r="L150" s="185">
        <f t="shared" si="54"/>
        <v>31018229.98</v>
      </c>
      <c r="M150" s="186">
        <f t="shared" si="55"/>
        <v>0</v>
      </c>
      <c r="N150" s="187">
        <f t="shared" si="56"/>
        <v>0</v>
      </c>
      <c r="O150" s="985">
        <f t="shared" si="57"/>
        <v>0</v>
      </c>
      <c r="P150" s="986"/>
      <c r="Q150" s="452"/>
      <c r="R150" s="452"/>
      <c r="S150" s="452">
        <f t="shared" si="53"/>
        <v>20</v>
      </c>
      <c r="T150" s="189"/>
    </row>
    <row r="151" spans="1:20" ht="15.75" customHeight="1">
      <c r="A151" s="82">
        <v>129</v>
      </c>
      <c r="B151" s="24" t="s">
        <v>952</v>
      </c>
      <c r="C151" s="51" t="s">
        <v>2394</v>
      </c>
      <c r="D151" s="82" t="s">
        <v>286</v>
      </c>
      <c r="E151" s="82">
        <v>60</v>
      </c>
      <c r="F151" s="82">
        <v>60</v>
      </c>
      <c r="G151" s="82"/>
      <c r="H151" s="82"/>
      <c r="I151" s="82"/>
      <c r="J151" s="199">
        <v>442164.50399999996</v>
      </c>
      <c r="K151" s="215">
        <f t="shared" si="52"/>
        <v>26529870.239999998</v>
      </c>
      <c r="L151" s="185">
        <f t="shared" si="54"/>
        <v>26529870.239999998</v>
      </c>
      <c r="M151" s="186">
        <f t="shared" si="55"/>
        <v>0</v>
      </c>
      <c r="N151" s="187">
        <f t="shared" si="56"/>
        <v>0</v>
      </c>
      <c r="O151" s="985">
        <f t="shared" si="57"/>
        <v>0</v>
      </c>
      <c r="P151" s="984" t="s">
        <v>4742</v>
      </c>
      <c r="Q151" s="452" t="s">
        <v>4809</v>
      </c>
      <c r="R151" s="452">
        <v>20</v>
      </c>
      <c r="S151" s="452">
        <f t="shared" si="53"/>
        <v>40</v>
      </c>
      <c r="T151" s="189">
        <v>7010200</v>
      </c>
    </row>
    <row r="152" spans="1:20" ht="15.75" customHeight="1">
      <c r="A152" s="82">
        <v>130</v>
      </c>
      <c r="B152" s="24" t="s">
        <v>953</v>
      </c>
      <c r="C152" s="51" t="s">
        <v>2395</v>
      </c>
      <c r="D152" s="82" t="s">
        <v>286</v>
      </c>
      <c r="E152" s="82">
        <v>20</v>
      </c>
      <c r="F152" s="82">
        <v>20</v>
      </c>
      <c r="G152" s="82"/>
      <c r="H152" s="82"/>
      <c r="I152" s="82"/>
      <c r="J152" s="199">
        <v>210510.53799999997</v>
      </c>
      <c r="K152" s="215">
        <f t="shared" si="52"/>
        <v>4210210.76</v>
      </c>
      <c r="L152" s="185">
        <f t="shared" si="54"/>
        <v>4210210.76</v>
      </c>
      <c r="M152" s="186">
        <f t="shared" si="55"/>
        <v>0</v>
      </c>
      <c r="N152" s="187">
        <f t="shared" si="56"/>
        <v>0</v>
      </c>
      <c r="O152" s="985">
        <f t="shared" si="57"/>
        <v>0</v>
      </c>
      <c r="P152" s="986"/>
      <c r="Q152" s="452"/>
      <c r="R152" s="452"/>
      <c r="S152" s="452">
        <f t="shared" si="53"/>
        <v>20</v>
      </c>
      <c r="T152" s="189"/>
    </row>
    <row r="153" spans="1:20" ht="15.75" customHeight="1">
      <c r="A153" s="82">
        <v>131</v>
      </c>
      <c r="B153" s="24" t="s">
        <v>925</v>
      </c>
      <c r="C153" s="51" t="s">
        <v>2396</v>
      </c>
      <c r="D153" s="82" t="s">
        <v>286</v>
      </c>
      <c r="E153" s="82">
        <v>20</v>
      </c>
      <c r="F153" s="82">
        <v>20</v>
      </c>
      <c r="G153" s="82"/>
      <c r="H153" s="82"/>
      <c r="I153" s="82"/>
      <c r="J153" s="199">
        <v>3013656.9560000002</v>
      </c>
      <c r="K153" s="215">
        <f t="shared" si="52"/>
        <v>60273139.120000005</v>
      </c>
      <c r="L153" s="185">
        <f t="shared" si="54"/>
        <v>60273139.120000005</v>
      </c>
      <c r="M153" s="186">
        <f t="shared" si="55"/>
        <v>0</v>
      </c>
      <c r="N153" s="187">
        <f t="shared" si="56"/>
        <v>0</v>
      </c>
      <c r="O153" s="985">
        <f t="shared" si="57"/>
        <v>0</v>
      </c>
      <c r="P153" s="986"/>
      <c r="Q153" s="452"/>
      <c r="R153" s="452"/>
      <c r="S153" s="452">
        <f t="shared" si="53"/>
        <v>20</v>
      </c>
      <c r="T153" s="189"/>
    </row>
    <row r="154" spans="1:20" ht="15.75" customHeight="1">
      <c r="A154" s="82">
        <v>132</v>
      </c>
      <c r="B154" s="24" t="s">
        <v>954</v>
      </c>
      <c r="C154" s="51" t="s">
        <v>2397</v>
      </c>
      <c r="D154" s="82" t="s">
        <v>286</v>
      </c>
      <c r="E154" s="82">
        <v>20</v>
      </c>
      <c r="F154" s="82">
        <v>20</v>
      </c>
      <c r="G154" s="82"/>
      <c r="H154" s="82"/>
      <c r="I154" s="82"/>
      <c r="J154" s="199">
        <v>1012831.7839999999</v>
      </c>
      <c r="K154" s="215">
        <f t="shared" si="52"/>
        <v>20256635.679999996</v>
      </c>
      <c r="L154" s="185">
        <f t="shared" si="54"/>
        <v>20256635.679999996</v>
      </c>
      <c r="M154" s="186">
        <f t="shared" si="55"/>
        <v>0</v>
      </c>
      <c r="N154" s="187">
        <f t="shared" si="56"/>
        <v>0</v>
      </c>
      <c r="O154" s="985">
        <f t="shared" si="57"/>
        <v>0</v>
      </c>
      <c r="P154" s="986"/>
      <c r="Q154" s="452"/>
      <c r="R154" s="452"/>
      <c r="S154" s="452">
        <f t="shared" si="53"/>
        <v>20</v>
      </c>
      <c r="T154" s="189"/>
    </row>
    <row r="155" spans="1:20" ht="15.75" customHeight="1">
      <c r="A155" s="82">
        <v>133</v>
      </c>
      <c r="B155" s="24" t="s">
        <v>955</v>
      </c>
      <c r="C155" s="51" t="s">
        <v>2398</v>
      </c>
      <c r="D155" s="82" t="s">
        <v>286</v>
      </c>
      <c r="E155" s="82">
        <v>20</v>
      </c>
      <c r="F155" s="82">
        <v>20</v>
      </c>
      <c r="G155" s="82"/>
      <c r="H155" s="82"/>
      <c r="I155" s="82"/>
      <c r="J155" s="199">
        <v>71949.237999999983</v>
      </c>
      <c r="K155" s="215">
        <f t="shared" si="52"/>
        <v>1438984.7599999998</v>
      </c>
      <c r="L155" s="185">
        <f t="shared" si="54"/>
        <v>1438984.7599999998</v>
      </c>
      <c r="M155" s="186">
        <f t="shared" si="55"/>
        <v>0</v>
      </c>
      <c r="N155" s="187">
        <f t="shared" si="56"/>
        <v>0</v>
      </c>
      <c r="O155" s="985">
        <f t="shared" si="57"/>
        <v>0</v>
      </c>
      <c r="P155" s="986"/>
      <c r="Q155" s="452"/>
      <c r="R155" s="452"/>
      <c r="S155" s="452">
        <f t="shared" si="53"/>
        <v>20</v>
      </c>
      <c r="T155" s="189"/>
    </row>
    <row r="156" spans="1:20" ht="15.75" customHeight="1">
      <c r="A156" s="82">
        <v>134</v>
      </c>
      <c r="B156" s="24" t="s">
        <v>956</v>
      </c>
      <c r="C156" s="51" t="s">
        <v>2399</v>
      </c>
      <c r="D156" s="82" t="s">
        <v>286</v>
      </c>
      <c r="E156" s="82">
        <v>20</v>
      </c>
      <c r="F156" s="82">
        <v>20</v>
      </c>
      <c r="G156" s="82"/>
      <c r="H156" s="82"/>
      <c r="I156" s="82"/>
      <c r="J156" s="199">
        <v>123678.79000000001</v>
      </c>
      <c r="K156" s="215">
        <f t="shared" si="52"/>
        <v>2473575.8000000003</v>
      </c>
      <c r="L156" s="185">
        <f t="shared" si="54"/>
        <v>2473575.8000000003</v>
      </c>
      <c r="M156" s="186">
        <f t="shared" si="55"/>
        <v>0</v>
      </c>
      <c r="N156" s="187">
        <f t="shared" si="56"/>
        <v>0</v>
      </c>
      <c r="O156" s="985">
        <f t="shared" si="57"/>
        <v>0</v>
      </c>
      <c r="P156" s="986"/>
      <c r="Q156" s="452"/>
      <c r="R156" s="452"/>
      <c r="S156" s="452">
        <f t="shared" si="53"/>
        <v>20</v>
      </c>
      <c r="T156" s="189"/>
    </row>
    <row r="157" spans="1:20" ht="15.75" customHeight="1">
      <c r="A157" s="82">
        <v>135</v>
      </c>
      <c r="B157" s="24" t="s">
        <v>957</v>
      </c>
      <c r="C157" s="51" t="s">
        <v>2400</v>
      </c>
      <c r="D157" s="82" t="s">
        <v>286</v>
      </c>
      <c r="E157" s="82">
        <v>20</v>
      </c>
      <c r="F157" s="82">
        <v>20</v>
      </c>
      <c r="G157" s="82"/>
      <c r="H157" s="82"/>
      <c r="I157" s="82"/>
      <c r="J157" s="199">
        <v>11249227.437999999</v>
      </c>
      <c r="K157" s="215">
        <f t="shared" si="52"/>
        <v>224984548.75999999</v>
      </c>
      <c r="L157" s="185">
        <f t="shared" si="54"/>
        <v>224984548.75999999</v>
      </c>
      <c r="M157" s="186">
        <f t="shared" si="55"/>
        <v>0</v>
      </c>
      <c r="N157" s="187">
        <f t="shared" si="56"/>
        <v>0</v>
      </c>
      <c r="O157" s="985">
        <f t="shared" si="57"/>
        <v>0</v>
      </c>
      <c r="P157" s="984" t="s">
        <v>4742</v>
      </c>
      <c r="Q157" s="452" t="s">
        <v>4809</v>
      </c>
      <c r="R157" s="452">
        <v>6</v>
      </c>
      <c r="S157" s="452">
        <f t="shared" si="53"/>
        <v>14</v>
      </c>
      <c r="T157" s="189">
        <v>53511300</v>
      </c>
    </row>
    <row r="158" spans="1:20" ht="15.75" customHeight="1">
      <c r="A158" s="82">
        <v>136</v>
      </c>
      <c r="B158" s="24" t="s">
        <v>958</v>
      </c>
      <c r="C158" s="51" t="s">
        <v>2401</v>
      </c>
      <c r="D158" s="82" t="s">
        <v>286</v>
      </c>
      <c r="E158" s="82">
        <v>100</v>
      </c>
      <c r="F158" s="82">
        <v>100</v>
      </c>
      <c r="G158" s="82"/>
      <c r="H158" s="82"/>
      <c r="I158" s="82"/>
      <c r="J158" s="199">
        <v>632814.58899999992</v>
      </c>
      <c r="K158" s="215">
        <f t="shared" si="52"/>
        <v>63281458.899999991</v>
      </c>
      <c r="L158" s="185">
        <f t="shared" si="54"/>
        <v>63281458.899999991</v>
      </c>
      <c r="M158" s="186">
        <f t="shared" si="55"/>
        <v>0</v>
      </c>
      <c r="N158" s="187">
        <f t="shared" si="56"/>
        <v>0</v>
      </c>
      <c r="O158" s="985">
        <f t="shared" si="57"/>
        <v>0</v>
      </c>
      <c r="P158" s="984" t="s">
        <v>4742</v>
      </c>
      <c r="Q158" s="452" t="s">
        <v>4809</v>
      </c>
      <c r="R158" s="452">
        <v>40</v>
      </c>
      <c r="S158" s="452">
        <f t="shared" si="53"/>
        <v>60</v>
      </c>
      <c r="T158" s="189">
        <v>20066500</v>
      </c>
    </row>
    <row r="159" spans="1:20" ht="15.75" customHeight="1">
      <c r="A159" s="1240" t="s">
        <v>959</v>
      </c>
      <c r="B159" s="1182"/>
      <c r="C159" s="1182"/>
      <c r="D159" s="1182"/>
      <c r="E159" s="1182"/>
      <c r="F159" s="1182"/>
      <c r="G159" s="1182"/>
      <c r="H159" s="1182"/>
      <c r="I159" s="1241"/>
      <c r="K159" s="215">
        <f t="shared" si="52"/>
        <v>0</v>
      </c>
      <c r="P159" s="986"/>
      <c r="Q159" s="383"/>
      <c r="R159" s="383"/>
      <c r="S159" s="452"/>
      <c r="T159" s="383"/>
    </row>
    <row r="160" spans="1:20" ht="15.75" customHeight="1">
      <c r="A160" s="82">
        <v>137</v>
      </c>
      <c r="B160" s="82" t="s">
        <v>959</v>
      </c>
      <c r="C160" s="100" t="s">
        <v>2402</v>
      </c>
      <c r="D160" s="82" t="s">
        <v>286</v>
      </c>
      <c r="E160" s="82">
        <v>18</v>
      </c>
      <c r="F160" s="82">
        <v>18</v>
      </c>
      <c r="G160" s="82"/>
      <c r="H160" s="82"/>
      <c r="I160" s="82"/>
      <c r="J160" s="199">
        <v>16311333.597999999</v>
      </c>
      <c r="K160" s="215">
        <f t="shared" si="52"/>
        <v>293604004.764</v>
      </c>
      <c r="L160" s="185">
        <f t="shared" ref="L160:L167" si="58">J160*F160</f>
        <v>293604004.764</v>
      </c>
      <c r="M160" s="186">
        <f t="shared" ref="M160:M167" si="59">J160*G160</f>
        <v>0</v>
      </c>
      <c r="N160" s="187">
        <f t="shared" ref="N160:N167" si="60">J160*H160</f>
        <v>0</v>
      </c>
      <c r="O160" s="985">
        <f t="shared" ref="O160:O167" si="61">J160*I160</f>
        <v>0</v>
      </c>
      <c r="P160" s="986"/>
      <c r="Q160" s="383"/>
      <c r="R160" s="383"/>
      <c r="S160" s="452">
        <f t="shared" si="53"/>
        <v>18</v>
      </c>
      <c r="T160" s="383"/>
    </row>
    <row r="161" spans="1:20" ht="15.75" customHeight="1">
      <c r="A161" s="82">
        <v>138</v>
      </c>
      <c r="B161" s="82" t="s">
        <v>960</v>
      </c>
      <c r="C161" s="100" t="s">
        <v>2403</v>
      </c>
      <c r="D161" s="82" t="s">
        <v>286</v>
      </c>
      <c r="E161" s="82">
        <v>36</v>
      </c>
      <c r="F161" s="82">
        <v>36</v>
      </c>
      <c r="G161" s="82"/>
      <c r="H161" s="82"/>
      <c r="I161" s="82"/>
      <c r="J161" s="199">
        <v>35153.515000000007</v>
      </c>
      <c r="K161" s="215">
        <f t="shared" si="52"/>
        <v>1265526.5400000003</v>
      </c>
      <c r="L161" s="185">
        <f t="shared" si="58"/>
        <v>1265526.5400000003</v>
      </c>
      <c r="M161" s="186">
        <f t="shared" si="59"/>
        <v>0</v>
      </c>
      <c r="N161" s="187">
        <f t="shared" si="60"/>
        <v>0</v>
      </c>
      <c r="O161" s="985">
        <f t="shared" si="61"/>
        <v>0</v>
      </c>
      <c r="P161" s="986"/>
      <c r="Q161" s="383"/>
      <c r="R161" s="383"/>
      <c r="S161" s="452">
        <f t="shared" si="53"/>
        <v>36</v>
      </c>
      <c r="T161" s="383"/>
    </row>
    <row r="162" spans="1:20" ht="15.75" customHeight="1">
      <c r="A162" s="82">
        <v>139</v>
      </c>
      <c r="B162" s="88" t="s">
        <v>961</v>
      </c>
      <c r="C162" s="100" t="s">
        <v>2404</v>
      </c>
      <c r="D162" s="82" t="s">
        <v>286</v>
      </c>
      <c r="E162" s="82">
        <v>90</v>
      </c>
      <c r="F162" s="82">
        <v>90</v>
      </c>
      <c r="G162" s="82"/>
      <c r="H162" s="82"/>
      <c r="I162" s="82"/>
      <c r="J162" s="199">
        <v>1054605.4499999997</v>
      </c>
      <c r="K162" s="215">
        <f t="shared" si="52"/>
        <v>94914490.49999997</v>
      </c>
      <c r="L162" s="185">
        <f t="shared" si="58"/>
        <v>94914490.49999997</v>
      </c>
      <c r="M162" s="186">
        <f t="shared" si="59"/>
        <v>0</v>
      </c>
      <c r="N162" s="187">
        <f t="shared" si="60"/>
        <v>0</v>
      </c>
      <c r="O162" s="985">
        <f t="shared" si="61"/>
        <v>0</v>
      </c>
      <c r="P162" s="986"/>
      <c r="Q162" s="383"/>
      <c r="R162" s="383"/>
      <c r="S162" s="452">
        <f t="shared" si="53"/>
        <v>90</v>
      </c>
      <c r="T162" s="383"/>
    </row>
    <row r="163" spans="1:20" ht="15.75" customHeight="1">
      <c r="A163" s="82">
        <v>140</v>
      </c>
      <c r="B163" s="82" t="s">
        <v>962</v>
      </c>
      <c r="C163" s="100" t="s">
        <v>2405</v>
      </c>
      <c r="D163" s="82" t="s">
        <v>286</v>
      </c>
      <c r="E163" s="82">
        <v>36</v>
      </c>
      <c r="F163" s="82">
        <v>36</v>
      </c>
      <c r="G163" s="82"/>
      <c r="H163" s="82"/>
      <c r="I163" s="82"/>
      <c r="J163" s="199">
        <v>351535.14999999997</v>
      </c>
      <c r="K163" s="215">
        <f t="shared" si="52"/>
        <v>12655265.399999999</v>
      </c>
      <c r="L163" s="185">
        <f t="shared" si="58"/>
        <v>12655265.399999999</v>
      </c>
      <c r="M163" s="186">
        <f t="shared" si="59"/>
        <v>0</v>
      </c>
      <c r="N163" s="187">
        <f t="shared" si="60"/>
        <v>0</v>
      </c>
      <c r="O163" s="985">
        <f t="shared" si="61"/>
        <v>0</v>
      </c>
      <c r="P163" s="986"/>
      <c r="Q163" s="383"/>
      <c r="R163" s="383"/>
      <c r="S163" s="452">
        <f t="shared" si="53"/>
        <v>36</v>
      </c>
      <c r="T163" s="383"/>
    </row>
    <row r="164" spans="1:20" ht="15.75" customHeight="1">
      <c r="A164" s="82">
        <v>141</v>
      </c>
      <c r="B164" s="82" t="s">
        <v>963</v>
      </c>
      <c r="C164" s="100" t="s">
        <v>2406</v>
      </c>
      <c r="D164" s="82" t="s">
        <v>286</v>
      </c>
      <c r="E164" s="82">
        <v>90</v>
      </c>
      <c r="F164" s="82">
        <v>90</v>
      </c>
      <c r="G164" s="82"/>
      <c r="H164" s="82"/>
      <c r="I164" s="82"/>
      <c r="J164" s="199">
        <v>140614.06000000003</v>
      </c>
      <c r="K164" s="215">
        <f t="shared" si="52"/>
        <v>12655265.400000002</v>
      </c>
      <c r="L164" s="185">
        <f t="shared" si="58"/>
        <v>12655265.400000002</v>
      </c>
      <c r="M164" s="186">
        <f t="shared" si="59"/>
        <v>0</v>
      </c>
      <c r="N164" s="187">
        <f t="shared" si="60"/>
        <v>0</v>
      </c>
      <c r="O164" s="985">
        <f t="shared" si="61"/>
        <v>0</v>
      </c>
      <c r="P164" s="986"/>
      <c r="Q164" s="383"/>
      <c r="R164" s="383"/>
      <c r="S164" s="452">
        <f t="shared" si="53"/>
        <v>90</v>
      </c>
      <c r="T164" s="383"/>
    </row>
    <row r="165" spans="1:20" ht="15.75" customHeight="1">
      <c r="A165" s="82">
        <v>142</v>
      </c>
      <c r="B165" s="88" t="s">
        <v>951</v>
      </c>
      <c r="C165" s="100" t="s">
        <v>2407</v>
      </c>
      <c r="D165" s="82" t="s">
        <v>286</v>
      </c>
      <c r="E165" s="82">
        <v>72</v>
      </c>
      <c r="F165" s="82">
        <v>72</v>
      </c>
      <c r="G165" s="82"/>
      <c r="H165" s="82"/>
      <c r="I165" s="82"/>
      <c r="J165" s="199">
        <v>645593.02000000014</v>
      </c>
      <c r="K165" s="215">
        <f t="shared" si="52"/>
        <v>46482697.440000013</v>
      </c>
      <c r="L165" s="185">
        <f t="shared" si="58"/>
        <v>46482697.440000013</v>
      </c>
      <c r="M165" s="186">
        <f t="shared" si="59"/>
        <v>0</v>
      </c>
      <c r="N165" s="187">
        <f t="shared" si="60"/>
        <v>0</v>
      </c>
      <c r="O165" s="985">
        <f t="shared" si="61"/>
        <v>0</v>
      </c>
      <c r="P165" s="986"/>
      <c r="Q165" s="383"/>
      <c r="R165" s="383"/>
      <c r="S165" s="452">
        <f t="shared" si="53"/>
        <v>72</v>
      </c>
      <c r="T165" s="383"/>
    </row>
    <row r="166" spans="1:20" ht="15.75" customHeight="1">
      <c r="A166" s="82">
        <v>143</v>
      </c>
      <c r="B166" s="88" t="s">
        <v>964</v>
      </c>
      <c r="C166" s="100" t="s">
        <v>2408</v>
      </c>
      <c r="D166" s="82" t="s">
        <v>286</v>
      </c>
      <c r="E166" s="82">
        <v>72</v>
      </c>
      <c r="F166" s="82">
        <v>72</v>
      </c>
      <c r="G166" s="82"/>
      <c r="H166" s="82"/>
      <c r="I166" s="82"/>
      <c r="J166" s="199">
        <v>610388.1860000001</v>
      </c>
      <c r="K166" s="215">
        <f t="shared" si="52"/>
        <v>43947949.392000005</v>
      </c>
      <c r="L166" s="185">
        <f t="shared" si="58"/>
        <v>43947949.392000005</v>
      </c>
      <c r="M166" s="186">
        <f t="shared" si="59"/>
        <v>0</v>
      </c>
      <c r="N166" s="187">
        <f t="shared" si="60"/>
        <v>0</v>
      </c>
      <c r="O166" s="985">
        <f t="shared" si="61"/>
        <v>0</v>
      </c>
      <c r="P166" s="986"/>
      <c r="Q166" s="383"/>
      <c r="R166" s="383"/>
      <c r="S166" s="452">
        <f t="shared" si="53"/>
        <v>72</v>
      </c>
      <c r="T166" s="383"/>
    </row>
    <row r="167" spans="1:20" ht="15.75" customHeight="1">
      <c r="A167" s="82">
        <v>144</v>
      </c>
      <c r="B167" s="88" t="s">
        <v>965</v>
      </c>
      <c r="C167" s="100" t="s">
        <v>2409</v>
      </c>
      <c r="D167" s="82" t="s">
        <v>286</v>
      </c>
      <c r="E167" s="82">
        <v>18</v>
      </c>
      <c r="F167" s="82">
        <v>18</v>
      </c>
      <c r="G167" s="82"/>
      <c r="H167" s="82"/>
      <c r="I167" s="82"/>
      <c r="J167" s="199">
        <v>5765279.0980000002</v>
      </c>
      <c r="K167" s="215">
        <f t="shared" si="52"/>
        <v>103775023.764</v>
      </c>
      <c r="L167" s="185">
        <f t="shared" si="58"/>
        <v>103775023.764</v>
      </c>
      <c r="M167" s="186">
        <f t="shared" si="59"/>
        <v>0</v>
      </c>
      <c r="N167" s="187">
        <f t="shared" si="60"/>
        <v>0</v>
      </c>
      <c r="O167" s="985">
        <f t="shared" si="61"/>
        <v>0</v>
      </c>
      <c r="P167" s="986"/>
      <c r="Q167" s="383"/>
      <c r="R167" s="383"/>
      <c r="S167" s="452">
        <f t="shared" si="53"/>
        <v>18</v>
      </c>
      <c r="T167" s="383"/>
    </row>
    <row r="168" spans="1:20" ht="15.75" customHeight="1">
      <c r="A168" s="1240" t="s">
        <v>966</v>
      </c>
      <c r="B168" s="1182"/>
      <c r="C168" s="1182"/>
      <c r="D168" s="1182"/>
      <c r="E168" s="1182"/>
      <c r="F168" s="1182"/>
      <c r="G168" s="1182"/>
      <c r="H168" s="1182"/>
      <c r="I168" s="1241"/>
      <c r="K168" s="215">
        <f t="shared" si="52"/>
        <v>0</v>
      </c>
      <c r="P168" s="986"/>
      <c r="Q168" s="383"/>
      <c r="R168" s="383"/>
      <c r="S168" s="452"/>
      <c r="T168" s="383"/>
    </row>
    <row r="169" spans="1:20" ht="15.75" customHeight="1">
      <c r="A169" s="82">
        <v>145</v>
      </c>
      <c r="B169" s="88" t="s">
        <v>966</v>
      </c>
      <c r="C169" s="100" t="s">
        <v>2410</v>
      </c>
      <c r="D169" s="82" t="s">
        <v>286</v>
      </c>
      <c r="E169" s="82">
        <v>90</v>
      </c>
      <c r="F169" s="82">
        <f t="shared" ref="F169:F184" si="62">E169*0.4</f>
        <v>36</v>
      </c>
      <c r="G169" s="82">
        <f t="shared" ref="G169:G184" si="63">E169*0.2</f>
        <v>18</v>
      </c>
      <c r="H169" s="82">
        <f t="shared" ref="H169:H184" si="64">E169*0.2</f>
        <v>18</v>
      </c>
      <c r="I169" s="82">
        <f t="shared" ref="I169:I184" si="65">E169*0.2</f>
        <v>18</v>
      </c>
      <c r="J169" s="199">
        <v>20421523.627</v>
      </c>
      <c r="K169" s="215">
        <f t="shared" si="52"/>
        <v>1837937126.4300001</v>
      </c>
      <c r="L169" s="185">
        <f t="shared" ref="L169:L184" si="66">J169*F169</f>
        <v>735174850.57200003</v>
      </c>
      <c r="M169" s="186">
        <f t="shared" ref="M169:M184" si="67">J169*G169</f>
        <v>367587425.28600001</v>
      </c>
      <c r="N169" s="187">
        <f t="shared" ref="N169:N184" si="68">J169*H169</f>
        <v>367587425.28600001</v>
      </c>
      <c r="O169" s="985">
        <f t="shared" ref="O169:O184" si="69">J169*I169</f>
        <v>367587425.28600001</v>
      </c>
      <c r="P169" s="984" t="s">
        <v>4742</v>
      </c>
      <c r="Q169" s="452" t="s">
        <v>4810</v>
      </c>
      <c r="R169" s="452">
        <v>20</v>
      </c>
      <c r="S169" s="452">
        <f t="shared" si="53"/>
        <v>70</v>
      </c>
      <c r="T169" s="189">
        <v>308828587.39999998</v>
      </c>
    </row>
    <row r="170" spans="1:20" ht="15.75" customHeight="1">
      <c r="A170" s="82">
        <v>146</v>
      </c>
      <c r="B170" s="82" t="s">
        <v>967</v>
      </c>
      <c r="C170" s="100" t="s">
        <v>2411</v>
      </c>
      <c r="D170" s="82" t="s">
        <v>286</v>
      </c>
      <c r="E170" s="82">
        <v>200</v>
      </c>
      <c r="F170" s="82">
        <f t="shared" si="62"/>
        <v>80</v>
      </c>
      <c r="G170" s="82">
        <f t="shared" si="63"/>
        <v>40</v>
      </c>
      <c r="H170" s="82">
        <f t="shared" si="64"/>
        <v>40</v>
      </c>
      <c r="I170" s="82">
        <f t="shared" si="65"/>
        <v>40</v>
      </c>
      <c r="J170" s="199">
        <v>108847.59900000002</v>
      </c>
      <c r="K170" s="215">
        <f t="shared" si="52"/>
        <v>21769519.800000004</v>
      </c>
      <c r="L170" s="185">
        <f t="shared" si="66"/>
        <v>8707807.9200000018</v>
      </c>
      <c r="M170" s="186">
        <f t="shared" si="67"/>
        <v>4353903.9600000009</v>
      </c>
      <c r="N170" s="187">
        <f t="shared" si="68"/>
        <v>4353903.9600000009</v>
      </c>
      <c r="O170" s="985">
        <f t="shared" si="69"/>
        <v>4353903.9600000009</v>
      </c>
      <c r="P170" s="986"/>
      <c r="Q170" s="383"/>
      <c r="R170" s="383"/>
      <c r="S170" s="452">
        <f t="shared" si="53"/>
        <v>200</v>
      </c>
      <c r="T170" s="383"/>
    </row>
    <row r="171" spans="1:20" ht="15.75" customHeight="1">
      <c r="A171" s="82">
        <v>147</v>
      </c>
      <c r="B171" s="25" t="s">
        <v>968</v>
      </c>
      <c r="C171" s="100" t="s">
        <v>2412</v>
      </c>
      <c r="D171" s="82" t="s">
        <v>286</v>
      </c>
      <c r="E171" s="82">
        <v>200</v>
      </c>
      <c r="F171" s="82">
        <f t="shared" si="62"/>
        <v>80</v>
      </c>
      <c r="G171" s="82">
        <f t="shared" si="63"/>
        <v>40</v>
      </c>
      <c r="H171" s="82">
        <f t="shared" si="64"/>
        <v>40</v>
      </c>
      <c r="I171" s="82">
        <f t="shared" si="65"/>
        <v>40</v>
      </c>
      <c r="J171" s="199">
        <v>38027.379000000001</v>
      </c>
      <c r="K171" s="215">
        <f t="shared" si="52"/>
        <v>7605475.7999999998</v>
      </c>
      <c r="L171" s="185">
        <f t="shared" si="66"/>
        <v>3042190.3200000003</v>
      </c>
      <c r="M171" s="186">
        <f t="shared" si="67"/>
        <v>1521095.1600000001</v>
      </c>
      <c r="N171" s="187">
        <f t="shared" si="68"/>
        <v>1521095.1600000001</v>
      </c>
      <c r="O171" s="985">
        <f t="shared" si="69"/>
        <v>1521095.1600000001</v>
      </c>
      <c r="P171" s="986"/>
      <c r="Q171" s="383"/>
      <c r="R171" s="383"/>
      <c r="S171" s="452">
        <f t="shared" si="53"/>
        <v>200</v>
      </c>
      <c r="T171" s="383"/>
    </row>
    <row r="172" spans="1:20" ht="15.75" customHeight="1">
      <c r="A172" s="82">
        <v>148</v>
      </c>
      <c r="B172" s="82" t="s">
        <v>969</v>
      </c>
      <c r="C172" s="100" t="s">
        <v>2413</v>
      </c>
      <c r="D172" s="82" t="s">
        <v>286</v>
      </c>
      <c r="E172" s="82">
        <v>10</v>
      </c>
      <c r="F172" s="82">
        <f t="shared" si="62"/>
        <v>4</v>
      </c>
      <c r="G172" s="82">
        <f t="shared" si="63"/>
        <v>2</v>
      </c>
      <c r="H172" s="82">
        <f t="shared" si="64"/>
        <v>2</v>
      </c>
      <c r="I172" s="82">
        <f t="shared" si="65"/>
        <v>2</v>
      </c>
      <c r="J172" s="199">
        <v>3473988.3859999999</v>
      </c>
      <c r="K172" s="215">
        <f t="shared" si="52"/>
        <v>34739883.859999999</v>
      </c>
      <c r="L172" s="185">
        <f t="shared" si="66"/>
        <v>13895953.544</v>
      </c>
      <c r="M172" s="186">
        <f t="shared" si="67"/>
        <v>6947976.7719999999</v>
      </c>
      <c r="N172" s="187">
        <f t="shared" si="68"/>
        <v>6947976.7719999999</v>
      </c>
      <c r="O172" s="985">
        <f t="shared" si="69"/>
        <v>6947976.7719999999</v>
      </c>
      <c r="P172" s="986"/>
      <c r="Q172" s="383"/>
      <c r="R172" s="383"/>
      <c r="S172" s="452">
        <f t="shared" si="53"/>
        <v>10</v>
      </c>
      <c r="T172" s="383"/>
    </row>
    <row r="173" spans="1:20" ht="15.75" customHeight="1">
      <c r="A173" s="82">
        <v>149</v>
      </c>
      <c r="B173" s="82" t="s">
        <v>970</v>
      </c>
      <c r="C173" s="100" t="s">
        <v>2414</v>
      </c>
      <c r="D173" s="82" t="s">
        <v>286</v>
      </c>
      <c r="E173" s="82">
        <v>90</v>
      </c>
      <c r="F173" s="82">
        <f t="shared" si="62"/>
        <v>36</v>
      </c>
      <c r="G173" s="82">
        <f t="shared" si="63"/>
        <v>18</v>
      </c>
      <c r="H173" s="82">
        <f t="shared" si="64"/>
        <v>18</v>
      </c>
      <c r="I173" s="82">
        <f t="shared" si="65"/>
        <v>18</v>
      </c>
      <c r="J173" s="199">
        <v>260597.88200000001</v>
      </c>
      <c r="K173" s="215">
        <f t="shared" si="52"/>
        <v>23453809.380000003</v>
      </c>
      <c r="L173" s="185">
        <f t="shared" si="66"/>
        <v>9381523.7520000003</v>
      </c>
      <c r="M173" s="186">
        <f t="shared" si="67"/>
        <v>4690761.8760000002</v>
      </c>
      <c r="N173" s="187">
        <f t="shared" si="68"/>
        <v>4690761.8760000002</v>
      </c>
      <c r="O173" s="985">
        <f t="shared" si="69"/>
        <v>4690761.8760000002</v>
      </c>
      <c r="P173" s="986"/>
      <c r="Q173" s="383"/>
      <c r="R173" s="383"/>
      <c r="S173" s="452">
        <f t="shared" si="53"/>
        <v>90</v>
      </c>
      <c r="T173" s="383"/>
    </row>
    <row r="174" spans="1:20" ht="15.75" customHeight="1">
      <c r="A174" s="82">
        <v>150</v>
      </c>
      <c r="B174" s="82" t="s">
        <v>971</v>
      </c>
      <c r="C174" s="100" t="s">
        <v>2415</v>
      </c>
      <c r="D174" s="82" t="s">
        <v>286</v>
      </c>
      <c r="E174" s="82">
        <v>45</v>
      </c>
      <c r="F174" s="82">
        <f t="shared" si="62"/>
        <v>18</v>
      </c>
      <c r="G174" s="82">
        <f t="shared" si="63"/>
        <v>9</v>
      </c>
      <c r="H174" s="82">
        <f t="shared" si="64"/>
        <v>9</v>
      </c>
      <c r="I174" s="82">
        <f t="shared" si="65"/>
        <v>9</v>
      </c>
      <c r="J174" s="199">
        <v>595556.995</v>
      </c>
      <c r="K174" s="215">
        <f t="shared" si="52"/>
        <v>26800064.774999999</v>
      </c>
      <c r="L174" s="185">
        <f t="shared" si="66"/>
        <v>10720025.91</v>
      </c>
      <c r="M174" s="186">
        <f t="shared" si="67"/>
        <v>5360012.9550000001</v>
      </c>
      <c r="N174" s="187">
        <f t="shared" si="68"/>
        <v>5360012.9550000001</v>
      </c>
      <c r="O174" s="985">
        <f t="shared" si="69"/>
        <v>5360012.9550000001</v>
      </c>
      <c r="P174" s="986"/>
      <c r="Q174" s="383"/>
      <c r="R174" s="383"/>
      <c r="S174" s="452">
        <f t="shared" si="53"/>
        <v>45</v>
      </c>
      <c r="T174" s="383"/>
    </row>
    <row r="175" spans="1:20" ht="15.75" customHeight="1">
      <c r="A175" s="82">
        <v>151</v>
      </c>
      <c r="B175" s="82" t="s">
        <v>960</v>
      </c>
      <c r="C175" s="100" t="s">
        <v>2416</v>
      </c>
      <c r="D175" s="82" t="s">
        <v>286</v>
      </c>
      <c r="E175" s="82">
        <v>180</v>
      </c>
      <c r="F175" s="82">
        <f t="shared" si="62"/>
        <v>72</v>
      </c>
      <c r="G175" s="82">
        <f t="shared" si="63"/>
        <v>36</v>
      </c>
      <c r="H175" s="82">
        <f t="shared" si="64"/>
        <v>36</v>
      </c>
      <c r="I175" s="82">
        <f t="shared" si="65"/>
        <v>36</v>
      </c>
      <c r="J175" s="199">
        <v>57887.832000000002</v>
      </c>
      <c r="K175" s="215">
        <f t="shared" si="52"/>
        <v>10419809.76</v>
      </c>
      <c r="L175" s="185">
        <f t="shared" si="66"/>
        <v>4167923.9040000001</v>
      </c>
      <c r="M175" s="186">
        <f t="shared" si="67"/>
        <v>2083961.952</v>
      </c>
      <c r="N175" s="187">
        <f t="shared" si="68"/>
        <v>2083961.952</v>
      </c>
      <c r="O175" s="985">
        <f t="shared" si="69"/>
        <v>2083961.952</v>
      </c>
      <c r="P175" s="986"/>
      <c r="Q175" s="383"/>
      <c r="R175" s="383"/>
      <c r="S175" s="452">
        <f t="shared" si="53"/>
        <v>180</v>
      </c>
      <c r="T175" s="383"/>
    </row>
    <row r="176" spans="1:20" ht="15.75" customHeight="1">
      <c r="A176" s="82">
        <v>152</v>
      </c>
      <c r="B176" s="88" t="s">
        <v>961</v>
      </c>
      <c r="C176" s="100" t="s">
        <v>2417</v>
      </c>
      <c r="D176" s="82" t="s">
        <v>286</v>
      </c>
      <c r="E176" s="82">
        <v>300</v>
      </c>
      <c r="F176" s="82">
        <f t="shared" si="62"/>
        <v>120</v>
      </c>
      <c r="G176" s="82">
        <f t="shared" si="63"/>
        <v>60</v>
      </c>
      <c r="H176" s="82">
        <f t="shared" si="64"/>
        <v>60</v>
      </c>
      <c r="I176" s="82">
        <f t="shared" si="65"/>
        <v>60</v>
      </c>
      <c r="J176" s="199">
        <v>2200250.8059999999</v>
      </c>
      <c r="K176" s="215">
        <f t="shared" si="52"/>
        <v>660075241.79999995</v>
      </c>
      <c r="L176" s="185">
        <f t="shared" si="66"/>
        <v>264030096.71999997</v>
      </c>
      <c r="M176" s="186">
        <f t="shared" si="67"/>
        <v>132015048.35999998</v>
      </c>
      <c r="N176" s="187">
        <f t="shared" si="68"/>
        <v>132015048.35999998</v>
      </c>
      <c r="O176" s="985">
        <f t="shared" si="69"/>
        <v>132015048.35999998</v>
      </c>
      <c r="P176" s="986"/>
      <c r="Q176" s="383"/>
      <c r="R176" s="383"/>
      <c r="S176" s="452">
        <f t="shared" si="53"/>
        <v>300</v>
      </c>
      <c r="T176" s="383"/>
    </row>
    <row r="177" spans="1:20" ht="15.75" customHeight="1">
      <c r="A177" s="82">
        <v>153</v>
      </c>
      <c r="B177" s="88" t="s">
        <v>951</v>
      </c>
      <c r="C177" s="100" t="s">
        <v>2418</v>
      </c>
      <c r="D177" s="82" t="s">
        <v>286</v>
      </c>
      <c r="E177" s="82">
        <v>240</v>
      </c>
      <c r="F177" s="82">
        <f t="shared" si="62"/>
        <v>96</v>
      </c>
      <c r="G177" s="82">
        <f t="shared" si="63"/>
        <v>48</v>
      </c>
      <c r="H177" s="82">
        <f t="shared" si="64"/>
        <v>48</v>
      </c>
      <c r="I177" s="82">
        <f t="shared" si="65"/>
        <v>48</v>
      </c>
      <c r="J177" s="199">
        <v>1194398.406</v>
      </c>
      <c r="K177" s="215">
        <f t="shared" si="52"/>
        <v>286655617.44</v>
      </c>
      <c r="L177" s="185">
        <f t="shared" si="66"/>
        <v>114662246.976</v>
      </c>
      <c r="M177" s="186">
        <f t="shared" si="67"/>
        <v>57331123.487999998</v>
      </c>
      <c r="N177" s="187">
        <f t="shared" si="68"/>
        <v>57331123.487999998</v>
      </c>
      <c r="O177" s="985">
        <f t="shared" si="69"/>
        <v>57331123.487999998</v>
      </c>
      <c r="P177" s="986"/>
      <c r="Q177" s="383"/>
      <c r="R177" s="383"/>
      <c r="S177" s="452">
        <f t="shared" si="53"/>
        <v>240</v>
      </c>
      <c r="T177" s="383"/>
    </row>
    <row r="178" spans="1:20" ht="15.75" customHeight="1">
      <c r="A178" s="82">
        <v>154</v>
      </c>
      <c r="B178" s="88" t="s">
        <v>949</v>
      </c>
      <c r="C178" s="100" t="s">
        <v>2419</v>
      </c>
      <c r="D178" s="82" t="s">
        <v>286</v>
      </c>
      <c r="E178" s="82">
        <v>10</v>
      </c>
      <c r="F178" s="82">
        <f t="shared" si="62"/>
        <v>4</v>
      </c>
      <c r="G178" s="82">
        <f t="shared" si="63"/>
        <v>2</v>
      </c>
      <c r="H178" s="82">
        <f t="shared" si="64"/>
        <v>2</v>
      </c>
      <c r="I178" s="82">
        <f t="shared" si="65"/>
        <v>2</v>
      </c>
      <c r="J178" s="199">
        <v>4718936.0070000002</v>
      </c>
      <c r="K178" s="215">
        <f t="shared" si="52"/>
        <v>47189360.07</v>
      </c>
      <c r="L178" s="185">
        <f t="shared" si="66"/>
        <v>18875744.028000001</v>
      </c>
      <c r="M178" s="186">
        <f t="shared" si="67"/>
        <v>9437872.0140000004</v>
      </c>
      <c r="N178" s="187">
        <f t="shared" si="68"/>
        <v>9437872.0140000004</v>
      </c>
      <c r="O178" s="985">
        <f t="shared" si="69"/>
        <v>9437872.0140000004</v>
      </c>
      <c r="P178" s="986"/>
      <c r="Q178" s="383"/>
      <c r="R178" s="383"/>
      <c r="S178" s="452">
        <f t="shared" si="53"/>
        <v>10</v>
      </c>
      <c r="T178" s="383"/>
    </row>
    <row r="179" spans="1:20" ht="15.75" customHeight="1">
      <c r="A179" s="82">
        <v>155</v>
      </c>
      <c r="B179" s="88" t="s">
        <v>895</v>
      </c>
      <c r="C179" s="100" t="s">
        <v>2420</v>
      </c>
      <c r="D179" s="82" t="s">
        <v>286</v>
      </c>
      <c r="E179" s="82">
        <v>90</v>
      </c>
      <c r="F179" s="82">
        <f t="shared" si="62"/>
        <v>36</v>
      </c>
      <c r="G179" s="82">
        <f t="shared" si="63"/>
        <v>18</v>
      </c>
      <c r="H179" s="82">
        <f t="shared" si="64"/>
        <v>18</v>
      </c>
      <c r="I179" s="82">
        <f t="shared" si="65"/>
        <v>18</v>
      </c>
      <c r="J179" s="199">
        <v>50908.447999999997</v>
      </c>
      <c r="K179" s="215">
        <f t="shared" si="52"/>
        <v>4581760.3199999994</v>
      </c>
      <c r="L179" s="185">
        <f t="shared" si="66"/>
        <v>1832704.1279999998</v>
      </c>
      <c r="M179" s="186">
        <f t="shared" si="67"/>
        <v>916352.0639999999</v>
      </c>
      <c r="N179" s="187">
        <f t="shared" si="68"/>
        <v>916352.0639999999</v>
      </c>
      <c r="O179" s="985">
        <f t="shared" si="69"/>
        <v>916352.0639999999</v>
      </c>
      <c r="P179" s="986"/>
      <c r="Q179" s="383"/>
      <c r="R179" s="383"/>
      <c r="S179" s="452">
        <f t="shared" si="53"/>
        <v>90</v>
      </c>
      <c r="T179" s="383"/>
    </row>
    <row r="180" spans="1:20" ht="15.75" customHeight="1">
      <c r="A180" s="82">
        <v>156</v>
      </c>
      <c r="B180" s="88" t="s">
        <v>964</v>
      </c>
      <c r="C180" s="100" t="s">
        <v>2421</v>
      </c>
      <c r="D180" s="82" t="s">
        <v>286</v>
      </c>
      <c r="E180" s="82">
        <v>360</v>
      </c>
      <c r="F180" s="82">
        <f t="shared" si="62"/>
        <v>144</v>
      </c>
      <c r="G180" s="82">
        <f t="shared" si="63"/>
        <v>72</v>
      </c>
      <c r="H180" s="82">
        <f t="shared" si="64"/>
        <v>72</v>
      </c>
      <c r="I180" s="82">
        <f t="shared" si="65"/>
        <v>72</v>
      </c>
      <c r="J180" s="199">
        <v>1405319.496</v>
      </c>
      <c r="K180" s="215">
        <f t="shared" si="52"/>
        <v>505915018.56</v>
      </c>
      <c r="L180" s="185">
        <f t="shared" si="66"/>
        <v>202366007.42399999</v>
      </c>
      <c r="M180" s="186">
        <f t="shared" si="67"/>
        <v>101183003.712</v>
      </c>
      <c r="N180" s="187">
        <f t="shared" si="68"/>
        <v>101183003.712</v>
      </c>
      <c r="O180" s="985">
        <f t="shared" si="69"/>
        <v>101183003.712</v>
      </c>
      <c r="P180" s="986"/>
      <c r="Q180" s="383"/>
      <c r="R180" s="383"/>
      <c r="S180" s="452">
        <f t="shared" si="53"/>
        <v>360</v>
      </c>
      <c r="T180" s="383"/>
    </row>
    <row r="181" spans="1:20" ht="15.75" customHeight="1">
      <c r="A181" s="82">
        <v>157</v>
      </c>
      <c r="B181" s="88" t="s">
        <v>965</v>
      </c>
      <c r="C181" s="100" t="s">
        <v>2422</v>
      </c>
      <c r="D181" s="82" t="s">
        <v>286</v>
      </c>
      <c r="E181" s="82">
        <v>90</v>
      </c>
      <c r="F181" s="82">
        <f t="shared" si="62"/>
        <v>36</v>
      </c>
      <c r="G181" s="82">
        <f t="shared" si="63"/>
        <v>18</v>
      </c>
      <c r="H181" s="82">
        <f t="shared" si="64"/>
        <v>18</v>
      </c>
      <c r="I181" s="82">
        <f t="shared" si="65"/>
        <v>18</v>
      </c>
      <c r="J181" s="199">
        <v>4979431.2510000002</v>
      </c>
      <c r="K181" s="215">
        <f t="shared" si="52"/>
        <v>448148812.59000003</v>
      </c>
      <c r="L181" s="185">
        <f t="shared" si="66"/>
        <v>179259525.03600001</v>
      </c>
      <c r="M181" s="186">
        <f t="shared" si="67"/>
        <v>89629762.518000007</v>
      </c>
      <c r="N181" s="187">
        <f t="shared" si="68"/>
        <v>89629762.518000007</v>
      </c>
      <c r="O181" s="985">
        <f t="shared" si="69"/>
        <v>89629762.518000007</v>
      </c>
      <c r="P181" s="986"/>
      <c r="Q181" s="383"/>
      <c r="R181" s="383"/>
      <c r="S181" s="452">
        <f t="shared" si="53"/>
        <v>90</v>
      </c>
      <c r="T181" s="383"/>
    </row>
    <row r="182" spans="1:20" ht="15.75" customHeight="1">
      <c r="A182" s="82">
        <v>158</v>
      </c>
      <c r="B182" s="88" t="s">
        <v>972</v>
      </c>
      <c r="C182" s="100" t="s">
        <v>2423</v>
      </c>
      <c r="D182" s="82" t="s">
        <v>286</v>
      </c>
      <c r="E182" s="82">
        <v>10</v>
      </c>
      <c r="F182" s="82">
        <f t="shared" si="62"/>
        <v>4</v>
      </c>
      <c r="G182" s="82">
        <f t="shared" si="63"/>
        <v>2</v>
      </c>
      <c r="H182" s="82">
        <f t="shared" si="64"/>
        <v>2</v>
      </c>
      <c r="I182" s="82">
        <f t="shared" si="65"/>
        <v>2</v>
      </c>
      <c r="J182" s="199">
        <v>1765938.1089999999</v>
      </c>
      <c r="K182" s="215">
        <f t="shared" si="52"/>
        <v>17659381.09</v>
      </c>
      <c r="L182" s="185">
        <f t="shared" si="66"/>
        <v>7063752.4359999998</v>
      </c>
      <c r="M182" s="186">
        <f t="shared" si="67"/>
        <v>3531876.2179999999</v>
      </c>
      <c r="N182" s="187">
        <f t="shared" si="68"/>
        <v>3531876.2179999999</v>
      </c>
      <c r="O182" s="985">
        <f t="shared" si="69"/>
        <v>3531876.2179999999</v>
      </c>
      <c r="P182" s="986"/>
      <c r="Q182" s="383"/>
      <c r="R182" s="383"/>
      <c r="S182" s="452">
        <f t="shared" si="53"/>
        <v>10</v>
      </c>
      <c r="T182" s="383"/>
    </row>
    <row r="183" spans="1:20" ht="15.75" customHeight="1">
      <c r="A183" s="82">
        <v>159</v>
      </c>
      <c r="B183" s="82" t="s">
        <v>967</v>
      </c>
      <c r="C183" s="100" t="s">
        <v>2424</v>
      </c>
      <c r="D183" s="82" t="s">
        <v>286</v>
      </c>
      <c r="E183" s="82">
        <v>100</v>
      </c>
      <c r="F183" s="82">
        <f t="shared" si="62"/>
        <v>40</v>
      </c>
      <c r="G183" s="82">
        <f t="shared" si="63"/>
        <v>20</v>
      </c>
      <c r="H183" s="82">
        <f t="shared" si="64"/>
        <v>20</v>
      </c>
      <c r="I183" s="82">
        <f t="shared" si="65"/>
        <v>20</v>
      </c>
      <c r="J183" s="199">
        <v>100020.731</v>
      </c>
      <c r="K183" s="215">
        <f t="shared" si="52"/>
        <v>10002073.1</v>
      </c>
      <c r="L183" s="185">
        <f t="shared" si="66"/>
        <v>4000829.24</v>
      </c>
      <c r="M183" s="186">
        <f t="shared" si="67"/>
        <v>2000414.62</v>
      </c>
      <c r="N183" s="187">
        <f t="shared" si="68"/>
        <v>2000414.62</v>
      </c>
      <c r="O183" s="985">
        <f t="shared" si="69"/>
        <v>2000414.62</v>
      </c>
      <c r="P183" s="986"/>
      <c r="Q183" s="383"/>
      <c r="R183" s="383"/>
      <c r="S183" s="452">
        <f t="shared" si="53"/>
        <v>100</v>
      </c>
      <c r="T183" s="383"/>
    </row>
    <row r="184" spans="1:20" ht="15.75" customHeight="1">
      <c r="A184" s="82">
        <v>160</v>
      </c>
      <c r="B184" s="88" t="s">
        <v>973</v>
      </c>
      <c r="C184" s="100" t="s">
        <v>2425</v>
      </c>
      <c r="D184" s="82" t="s">
        <v>286</v>
      </c>
      <c r="E184" s="82">
        <v>90</v>
      </c>
      <c r="F184" s="82">
        <f t="shared" si="62"/>
        <v>36</v>
      </c>
      <c r="G184" s="82">
        <f t="shared" si="63"/>
        <v>18</v>
      </c>
      <c r="H184" s="82">
        <f t="shared" si="64"/>
        <v>18</v>
      </c>
      <c r="I184" s="82">
        <f t="shared" si="65"/>
        <v>18</v>
      </c>
      <c r="J184" s="199">
        <v>115826.98300000001</v>
      </c>
      <c r="K184" s="215">
        <f t="shared" si="52"/>
        <v>10424428.470000001</v>
      </c>
      <c r="L184" s="185">
        <f t="shared" si="66"/>
        <v>4169771.3880000003</v>
      </c>
      <c r="M184" s="186">
        <f t="shared" si="67"/>
        <v>2084885.6940000001</v>
      </c>
      <c r="N184" s="187">
        <f t="shared" si="68"/>
        <v>2084885.6940000001</v>
      </c>
      <c r="O184" s="985">
        <f t="shared" si="69"/>
        <v>2084885.6940000001</v>
      </c>
      <c r="P184" s="986"/>
      <c r="Q184" s="383"/>
      <c r="R184" s="383"/>
      <c r="S184" s="452">
        <f t="shared" si="53"/>
        <v>90</v>
      </c>
      <c r="T184" s="383"/>
    </row>
    <row r="185" spans="1:20" ht="15.75" customHeight="1">
      <c r="A185" s="1243" t="s">
        <v>974</v>
      </c>
      <c r="B185" s="1187"/>
      <c r="C185" s="1187"/>
      <c r="D185" s="1187"/>
      <c r="E185" s="1187"/>
      <c r="F185" s="1187"/>
      <c r="G185" s="1187"/>
      <c r="H185" s="1187"/>
      <c r="I185" s="1200"/>
      <c r="K185" s="215">
        <f t="shared" si="52"/>
        <v>0</v>
      </c>
      <c r="P185" s="986"/>
      <c r="Q185" s="383"/>
      <c r="R185" s="383"/>
      <c r="S185" s="452"/>
      <c r="T185" s="383"/>
    </row>
    <row r="186" spans="1:20" ht="15.75" customHeight="1">
      <c r="A186" s="82">
        <v>161</v>
      </c>
      <c r="B186" s="26" t="s">
        <v>975</v>
      </c>
      <c r="C186" s="51" t="s">
        <v>2426</v>
      </c>
      <c r="D186" s="82" t="s">
        <v>286</v>
      </c>
      <c r="E186" s="82">
        <v>36</v>
      </c>
      <c r="F186" s="82">
        <f>E186/2</f>
        <v>18</v>
      </c>
      <c r="G186" s="82">
        <f>E186/2</f>
        <v>18</v>
      </c>
      <c r="H186" s="82"/>
      <c r="I186" s="82"/>
      <c r="J186" s="199">
        <v>2509601.7379999999</v>
      </c>
      <c r="K186" s="215">
        <f t="shared" si="52"/>
        <v>90345662.567999989</v>
      </c>
      <c r="L186" s="185">
        <f>J186*F186</f>
        <v>45172831.283999994</v>
      </c>
      <c r="M186" s="186">
        <f>J186*G186</f>
        <v>45172831.283999994</v>
      </c>
      <c r="N186" s="187">
        <f>J186*H186</f>
        <v>0</v>
      </c>
      <c r="O186" s="985">
        <f>J186*I186</f>
        <v>0</v>
      </c>
      <c r="P186" s="984" t="s">
        <v>4742</v>
      </c>
      <c r="Q186" s="452" t="s">
        <v>4811</v>
      </c>
      <c r="R186" s="452">
        <v>3</v>
      </c>
      <c r="S186" s="452">
        <f t="shared" si="53"/>
        <v>33</v>
      </c>
      <c r="T186" s="189">
        <v>6300000</v>
      </c>
    </row>
    <row r="187" spans="1:20" ht="15.75" customHeight="1">
      <c r="A187" s="82">
        <v>162</v>
      </c>
      <c r="B187" s="26" t="s">
        <v>976</v>
      </c>
      <c r="C187" s="51" t="s">
        <v>2427</v>
      </c>
      <c r="D187" s="82" t="s">
        <v>286</v>
      </c>
      <c r="E187" s="82">
        <v>18</v>
      </c>
      <c r="F187" s="82">
        <f>E187/2</f>
        <v>9</v>
      </c>
      <c r="G187" s="82">
        <f>E187/2</f>
        <v>9</v>
      </c>
      <c r="H187" s="82"/>
      <c r="I187" s="82"/>
      <c r="J187" s="199">
        <v>2509601.7379999999</v>
      </c>
      <c r="K187" s="215">
        <f t="shared" si="52"/>
        <v>45172831.283999994</v>
      </c>
      <c r="L187" s="185">
        <f>J187*F187</f>
        <v>22586415.641999997</v>
      </c>
      <c r="M187" s="186">
        <f>J187*G187</f>
        <v>22586415.641999997</v>
      </c>
      <c r="N187" s="187">
        <f>J187*H187</f>
        <v>0</v>
      </c>
      <c r="O187" s="985">
        <f>J187*I187</f>
        <v>0</v>
      </c>
      <c r="P187" s="986"/>
      <c r="Q187" s="452"/>
      <c r="R187" s="452"/>
      <c r="S187" s="452">
        <f t="shared" si="53"/>
        <v>18</v>
      </c>
      <c r="T187" s="189"/>
    </row>
    <row r="188" spans="1:20" ht="15.75" customHeight="1">
      <c r="A188" s="82">
        <v>163</v>
      </c>
      <c r="B188" s="26" t="s">
        <v>975</v>
      </c>
      <c r="C188" s="51" t="s">
        <v>2428</v>
      </c>
      <c r="D188" s="82" t="s">
        <v>286</v>
      </c>
      <c r="E188" s="82">
        <v>120</v>
      </c>
      <c r="F188" s="82">
        <f>E188/2</f>
        <v>60</v>
      </c>
      <c r="G188" s="82">
        <f>E188/2</f>
        <v>60</v>
      </c>
      <c r="H188" s="82"/>
      <c r="I188" s="82"/>
      <c r="J188" s="199">
        <v>4154734.9209999992</v>
      </c>
      <c r="K188" s="215">
        <f t="shared" si="52"/>
        <v>498568190.51999992</v>
      </c>
      <c r="L188" s="185">
        <f>J188*F188</f>
        <v>249284095.25999996</v>
      </c>
      <c r="M188" s="186">
        <f>J188*G188</f>
        <v>249284095.25999996</v>
      </c>
      <c r="N188" s="187">
        <f>J188*H188</f>
        <v>0</v>
      </c>
      <c r="O188" s="985">
        <f>J188*I188</f>
        <v>0</v>
      </c>
      <c r="P188" s="984" t="s">
        <v>4742</v>
      </c>
      <c r="Q188" s="452" t="s">
        <v>4812</v>
      </c>
      <c r="R188" s="452">
        <v>60</v>
      </c>
      <c r="S188" s="452">
        <f t="shared" si="53"/>
        <v>60</v>
      </c>
      <c r="T188" s="189">
        <v>197400000</v>
      </c>
    </row>
    <row r="189" spans="1:20" ht="15.75" customHeight="1">
      <c r="A189" s="82">
        <v>164</v>
      </c>
      <c r="B189" s="26" t="s">
        <v>976</v>
      </c>
      <c r="C189" s="51" t="s">
        <v>2429</v>
      </c>
      <c r="D189" s="82" t="s">
        <v>286</v>
      </c>
      <c r="E189" s="82">
        <v>180</v>
      </c>
      <c r="F189" s="82">
        <f>E189/2</f>
        <v>90</v>
      </c>
      <c r="G189" s="82">
        <f>E189/2</f>
        <v>90</v>
      </c>
      <c r="H189" s="82"/>
      <c r="I189" s="82"/>
      <c r="J189" s="199">
        <v>4154734.9209999992</v>
      </c>
      <c r="K189" s="215">
        <f t="shared" si="52"/>
        <v>747852285.77999985</v>
      </c>
      <c r="L189" s="185">
        <f>J189*F189</f>
        <v>373926142.88999993</v>
      </c>
      <c r="M189" s="186">
        <f>J189*G189</f>
        <v>373926142.88999993</v>
      </c>
      <c r="N189" s="187">
        <f>J189*H189</f>
        <v>0</v>
      </c>
      <c r="O189" s="985">
        <f>J189*I189</f>
        <v>0</v>
      </c>
      <c r="P189" s="984" t="s">
        <v>4742</v>
      </c>
      <c r="Q189" s="452" t="s">
        <v>4813</v>
      </c>
      <c r="R189" s="452">
        <v>90</v>
      </c>
      <c r="S189" s="452">
        <f t="shared" si="53"/>
        <v>90</v>
      </c>
      <c r="T189" s="189">
        <v>296100000</v>
      </c>
    </row>
    <row r="190" spans="1:20" ht="15.75" customHeight="1">
      <c r="A190" s="82">
        <v>165</v>
      </c>
      <c r="B190" s="26" t="s">
        <v>977</v>
      </c>
      <c r="C190" s="51" t="s">
        <v>2430</v>
      </c>
      <c r="D190" s="82" t="s">
        <v>286</v>
      </c>
      <c r="E190" s="82">
        <v>90</v>
      </c>
      <c r="F190" s="82">
        <f>E190/2</f>
        <v>45</v>
      </c>
      <c r="G190" s="82">
        <f>E190/2</f>
        <v>45</v>
      </c>
      <c r="H190" s="82"/>
      <c r="I190" s="82"/>
      <c r="J190" s="199">
        <v>4154734.9209999992</v>
      </c>
      <c r="K190" s="215">
        <f t="shared" si="52"/>
        <v>373926142.88999993</v>
      </c>
      <c r="L190" s="185">
        <f>J190*F190</f>
        <v>186963071.44499996</v>
      </c>
      <c r="M190" s="186">
        <f>J190*G190</f>
        <v>186963071.44499996</v>
      </c>
      <c r="N190" s="187">
        <f>J190*H190</f>
        <v>0</v>
      </c>
      <c r="O190" s="985">
        <f>J190*I190</f>
        <v>0</v>
      </c>
      <c r="P190" s="984" t="s">
        <v>4742</v>
      </c>
      <c r="Q190" s="452" t="s">
        <v>4814</v>
      </c>
      <c r="R190" s="452">
        <v>45</v>
      </c>
      <c r="S190" s="452">
        <f t="shared" si="53"/>
        <v>45</v>
      </c>
      <c r="T190" s="189">
        <v>148050000</v>
      </c>
    </row>
    <row r="191" spans="1:20" ht="15.75" customHeight="1">
      <c r="A191" s="1240" t="s">
        <v>978</v>
      </c>
      <c r="B191" s="1182"/>
      <c r="C191" s="1182"/>
      <c r="D191" s="1182"/>
      <c r="E191" s="1182"/>
      <c r="F191" s="1182"/>
      <c r="G191" s="1182"/>
      <c r="H191" s="1182"/>
      <c r="I191" s="1241"/>
      <c r="K191" s="215">
        <f t="shared" si="52"/>
        <v>0</v>
      </c>
      <c r="P191" s="986"/>
      <c r="Q191" s="383"/>
      <c r="R191" s="383"/>
      <c r="S191" s="452"/>
      <c r="T191" s="383"/>
    </row>
    <row r="192" spans="1:20" ht="15.75" customHeight="1">
      <c r="A192" s="82">
        <v>166</v>
      </c>
      <c r="B192" s="68" t="s">
        <v>979</v>
      </c>
      <c r="C192" s="82" t="s">
        <v>2431</v>
      </c>
      <c r="D192" s="82" t="s">
        <v>286</v>
      </c>
      <c r="E192" s="82">
        <v>50</v>
      </c>
      <c r="F192" s="82">
        <f t="shared" ref="F192:F206" si="70">E192*0.4</f>
        <v>20</v>
      </c>
      <c r="G192" s="82">
        <f t="shared" ref="G192:G206" si="71">E192*0.2</f>
        <v>10</v>
      </c>
      <c r="H192" s="82">
        <f t="shared" ref="H192:H206" si="72">E192*0.2</f>
        <v>10</v>
      </c>
      <c r="I192" s="82">
        <f t="shared" ref="I192:I206" si="73">E192*0.2</f>
        <v>10</v>
      </c>
      <c r="J192" s="199">
        <v>5953414.5520000001</v>
      </c>
      <c r="K192" s="215">
        <f t="shared" si="52"/>
        <v>297670727.60000002</v>
      </c>
      <c r="L192" s="185">
        <f t="shared" ref="L192:L206" si="74">J192*F192</f>
        <v>119068291.04000001</v>
      </c>
      <c r="M192" s="186">
        <f t="shared" ref="M192:M206" si="75">J192*G192</f>
        <v>59534145.520000003</v>
      </c>
      <c r="N192" s="187">
        <f t="shared" ref="N192:N206" si="76">J192*H192</f>
        <v>59534145.520000003</v>
      </c>
      <c r="O192" s="985">
        <f t="shared" ref="O192:O206" si="77">J192*I192</f>
        <v>59534145.520000003</v>
      </c>
      <c r="P192" s="986"/>
      <c r="Q192" s="452"/>
      <c r="R192" s="452"/>
      <c r="S192" s="452">
        <f t="shared" si="53"/>
        <v>50</v>
      </c>
      <c r="T192" s="189"/>
    </row>
    <row r="193" spans="1:20" ht="15.75" customHeight="1">
      <c r="A193" s="82">
        <v>167</v>
      </c>
      <c r="B193" s="68" t="s">
        <v>980</v>
      </c>
      <c r="C193" s="82" t="s">
        <v>2432</v>
      </c>
      <c r="D193" s="82" t="s">
        <v>286</v>
      </c>
      <c r="E193" s="82">
        <v>60</v>
      </c>
      <c r="F193" s="82">
        <f t="shared" si="70"/>
        <v>24</v>
      </c>
      <c r="G193" s="82">
        <f t="shared" si="71"/>
        <v>12</v>
      </c>
      <c r="H193" s="82">
        <f t="shared" si="72"/>
        <v>12</v>
      </c>
      <c r="I193" s="82">
        <f t="shared" si="73"/>
        <v>12</v>
      </c>
      <c r="J193" s="199">
        <v>5955467.3119999999</v>
      </c>
      <c r="K193" s="215">
        <f t="shared" si="52"/>
        <v>357328038.71999997</v>
      </c>
      <c r="L193" s="185">
        <f t="shared" si="74"/>
        <v>142931215.48800001</v>
      </c>
      <c r="M193" s="186">
        <f t="shared" si="75"/>
        <v>71465607.744000003</v>
      </c>
      <c r="N193" s="187">
        <f t="shared" si="76"/>
        <v>71465607.744000003</v>
      </c>
      <c r="O193" s="985">
        <f t="shared" si="77"/>
        <v>71465607.744000003</v>
      </c>
      <c r="P193" s="986"/>
      <c r="Q193" s="452"/>
      <c r="R193" s="452"/>
      <c r="S193" s="452">
        <f t="shared" si="53"/>
        <v>60</v>
      </c>
      <c r="T193" s="189"/>
    </row>
    <row r="194" spans="1:20" ht="15.75" customHeight="1">
      <c r="A194" s="82">
        <v>168</v>
      </c>
      <c r="B194" s="68" t="s">
        <v>981</v>
      </c>
      <c r="C194" s="82" t="s">
        <v>2433</v>
      </c>
      <c r="D194" s="82" t="s">
        <v>286</v>
      </c>
      <c r="E194" s="82">
        <v>100</v>
      </c>
      <c r="F194" s="82">
        <f t="shared" si="70"/>
        <v>40</v>
      </c>
      <c r="G194" s="82">
        <f t="shared" si="71"/>
        <v>20</v>
      </c>
      <c r="H194" s="82">
        <f t="shared" si="72"/>
        <v>20</v>
      </c>
      <c r="I194" s="82">
        <f t="shared" si="73"/>
        <v>20</v>
      </c>
      <c r="J194" s="199">
        <v>5955467.3119999999</v>
      </c>
      <c r="K194" s="215">
        <f t="shared" si="52"/>
        <v>595546731.20000005</v>
      </c>
      <c r="L194" s="185">
        <f t="shared" si="74"/>
        <v>238218692.47999999</v>
      </c>
      <c r="M194" s="186">
        <f t="shared" si="75"/>
        <v>119109346.23999999</v>
      </c>
      <c r="N194" s="187">
        <f t="shared" si="76"/>
        <v>119109346.23999999</v>
      </c>
      <c r="O194" s="985">
        <f t="shared" si="77"/>
        <v>119109346.23999999</v>
      </c>
      <c r="P194" s="986"/>
      <c r="Q194" s="452"/>
      <c r="R194" s="452"/>
      <c r="S194" s="452">
        <f t="shared" si="53"/>
        <v>100</v>
      </c>
      <c r="T194" s="189"/>
    </row>
    <row r="195" spans="1:20" ht="15.75" customHeight="1">
      <c r="A195" s="82">
        <v>169</v>
      </c>
      <c r="B195" s="68" t="s">
        <v>982</v>
      </c>
      <c r="C195" s="82" t="s">
        <v>2432</v>
      </c>
      <c r="D195" s="82" t="s">
        <v>286</v>
      </c>
      <c r="E195" s="82">
        <v>150</v>
      </c>
      <c r="F195" s="82">
        <f t="shared" si="70"/>
        <v>60</v>
      </c>
      <c r="G195" s="82">
        <f t="shared" si="71"/>
        <v>30</v>
      </c>
      <c r="H195" s="82">
        <f t="shared" si="72"/>
        <v>30</v>
      </c>
      <c r="I195" s="82">
        <f t="shared" si="73"/>
        <v>30</v>
      </c>
      <c r="J195" s="199">
        <v>5955467.3119999999</v>
      </c>
      <c r="K195" s="215">
        <f t="shared" si="52"/>
        <v>893320096.79999995</v>
      </c>
      <c r="L195" s="185">
        <f t="shared" si="74"/>
        <v>357328038.71999997</v>
      </c>
      <c r="M195" s="186">
        <f t="shared" si="75"/>
        <v>178664019.35999998</v>
      </c>
      <c r="N195" s="187">
        <f t="shared" si="76"/>
        <v>178664019.35999998</v>
      </c>
      <c r="O195" s="985">
        <f t="shared" si="77"/>
        <v>178664019.35999998</v>
      </c>
      <c r="P195" s="986"/>
      <c r="Q195" s="452"/>
      <c r="R195" s="452"/>
      <c r="S195" s="452">
        <f t="shared" si="53"/>
        <v>150</v>
      </c>
      <c r="T195" s="189"/>
    </row>
    <row r="196" spans="1:20" ht="15.75" customHeight="1">
      <c r="A196" s="82">
        <v>170</v>
      </c>
      <c r="B196" s="68" t="s">
        <v>983</v>
      </c>
      <c r="C196" s="82" t="s">
        <v>2434</v>
      </c>
      <c r="D196" s="82" t="s">
        <v>286</v>
      </c>
      <c r="E196" s="82">
        <v>220</v>
      </c>
      <c r="F196" s="82">
        <f t="shared" si="70"/>
        <v>88</v>
      </c>
      <c r="G196" s="82">
        <f t="shared" si="71"/>
        <v>44</v>
      </c>
      <c r="H196" s="82">
        <f t="shared" si="72"/>
        <v>44</v>
      </c>
      <c r="I196" s="82">
        <f t="shared" si="73"/>
        <v>44</v>
      </c>
      <c r="J196" s="199">
        <v>5955467.3119999999</v>
      </c>
      <c r="K196" s="215">
        <f t="shared" ref="K196:K228" si="78">J196*E196</f>
        <v>1310202808.6399999</v>
      </c>
      <c r="L196" s="185">
        <f t="shared" si="74"/>
        <v>524081123.45599997</v>
      </c>
      <c r="M196" s="186">
        <f t="shared" si="75"/>
        <v>262040561.72799999</v>
      </c>
      <c r="N196" s="187">
        <f t="shared" si="76"/>
        <v>262040561.72799999</v>
      </c>
      <c r="O196" s="985">
        <f t="shared" si="77"/>
        <v>262040561.72799999</v>
      </c>
      <c r="P196" s="984" t="s">
        <v>4742</v>
      </c>
      <c r="Q196" s="452" t="s">
        <v>4815</v>
      </c>
      <c r="R196" s="452">
        <v>48</v>
      </c>
      <c r="S196" s="452">
        <f t="shared" si="53"/>
        <v>172</v>
      </c>
      <c r="T196" s="189">
        <v>228000000</v>
      </c>
    </row>
    <row r="197" spans="1:20" ht="15.75" customHeight="1">
      <c r="A197" s="82">
        <v>171</v>
      </c>
      <c r="B197" s="68" t="s">
        <v>984</v>
      </c>
      <c r="C197" s="82" t="s">
        <v>2435</v>
      </c>
      <c r="D197" s="82" t="s">
        <v>286</v>
      </c>
      <c r="E197" s="82">
        <v>300</v>
      </c>
      <c r="F197" s="82">
        <f t="shared" si="70"/>
        <v>120</v>
      </c>
      <c r="G197" s="82">
        <f t="shared" si="71"/>
        <v>60</v>
      </c>
      <c r="H197" s="82">
        <f t="shared" si="72"/>
        <v>60</v>
      </c>
      <c r="I197" s="82">
        <f t="shared" si="73"/>
        <v>60</v>
      </c>
      <c r="J197" s="199">
        <v>5955467.3119999999</v>
      </c>
      <c r="K197" s="215">
        <f t="shared" si="78"/>
        <v>1786640193.5999999</v>
      </c>
      <c r="L197" s="185">
        <f t="shared" si="74"/>
        <v>714656077.43999994</v>
      </c>
      <c r="M197" s="186">
        <f t="shared" si="75"/>
        <v>357328038.71999997</v>
      </c>
      <c r="N197" s="187">
        <f t="shared" si="76"/>
        <v>357328038.71999997</v>
      </c>
      <c r="O197" s="985">
        <f t="shared" si="77"/>
        <v>357328038.71999997</v>
      </c>
      <c r="P197" s="984" t="s">
        <v>4742</v>
      </c>
      <c r="Q197" s="452" t="s">
        <v>4816</v>
      </c>
      <c r="R197" s="452">
        <v>100</v>
      </c>
      <c r="S197" s="452">
        <f t="shared" ref="S197:S228" si="79">F197+G197+H197+I197-R197</f>
        <v>200</v>
      </c>
      <c r="T197" s="189">
        <v>552000000</v>
      </c>
    </row>
    <row r="198" spans="1:20" ht="15.75" customHeight="1">
      <c r="A198" s="82">
        <v>172</v>
      </c>
      <c r="B198" s="68" t="s">
        <v>985</v>
      </c>
      <c r="C198" s="82" t="s">
        <v>2436</v>
      </c>
      <c r="D198" s="82" t="s">
        <v>286</v>
      </c>
      <c r="E198" s="82">
        <v>20</v>
      </c>
      <c r="F198" s="82">
        <f t="shared" si="70"/>
        <v>8</v>
      </c>
      <c r="G198" s="82">
        <f t="shared" si="71"/>
        <v>4</v>
      </c>
      <c r="H198" s="82">
        <f t="shared" si="72"/>
        <v>4</v>
      </c>
      <c r="I198" s="82">
        <f t="shared" si="73"/>
        <v>4</v>
      </c>
      <c r="J198" s="199">
        <v>6286320.9050000003</v>
      </c>
      <c r="K198" s="215">
        <f t="shared" si="78"/>
        <v>125726418.10000001</v>
      </c>
      <c r="L198" s="185">
        <f t="shared" si="74"/>
        <v>50290567.240000002</v>
      </c>
      <c r="M198" s="186">
        <f t="shared" si="75"/>
        <v>25145283.620000001</v>
      </c>
      <c r="N198" s="187">
        <f t="shared" si="76"/>
        <v>25145283.620000001</v>
      </c>
      <c r="O198" s="985">
        <f t="shared" si="77"/>
        <v>25145283.620000001</v>
      </c>
      <c r="P198" s="986"/>
      <c r="Q198" s="452"/>
      <c r="R198" s="452"/>
      <c r="S198" s="452">
        <f t="shared" si="79"/>
        <v>20</v>
      </c>
      <c r="T198" s="189"/>
    </row>
    <row r="199" spans="1:20" ht="15.75" customHeight="1">
      <c r="A199" s="82">
        <v>173</v>
      </c>
      <c r="B199" s="68" t="s">
        <v>986</v>
      </c>
      <c r="C199" s="82" t="s">
        <v>2437</v>
      </c>
      <c r="D199" s="82" t="s">
        <v>286</v>
      </c>
      <c r="E199" s="82">
        <v>20</v>
      </c>
      <c r="F199" s="82">
        <f t="shared" si="70"/>
        <v>8</v>
      </c>
      <c r="G199" s="82">
        <f t="shared" si="71"/>
        <v>4</v>
      </c>
      <c r="H199" s="82">
        <f t="shared" si="72"/>
        <v>4</v>
      </c>
      <c r="I199" s="82">
        <f t="shared" si="73"/>
        <v>4</v>
      </c>
      <c r="J199" s="199">
        <v>6286320.9050000003</v>
      </c>
      <c r="K199" s="215">
        <f t="shared" si="78"/>
        <v>125726418.10000001</v>
      </c>
      <c r="L199" s="185">
        <f t="shared" si="74"/>
        <v>50290567.240000002</v>
      </c>
      <c r="M199" s="186">
        <f t="shared" si="75"/>
        <v>25145283.620000001</v>
      </c>
      <c r="N199" s="187">
        <f t="shared" si="76"/>
        <v>25145283.620000001</v>
      </c>
      <c r="O199" s="985">
        <f t="shared" si="77"/>
        <v>25145283.620000001</v>
      </c>
      <c r="P199" s="984" t="s">
        <v>4742</v>
      </c>
      <c r="Q199" s="452" t="s">
        <v>4817</v>
      </c>
      <c r="R199" s="452">
        <v>8</v>
      </c>
      <c r="S199" s="452">
        <f t="shared" si="79"/>
        <v>12</v>
      </c>
      <c r="T199" s="189">
        <v>39096000</v>
      </c>
    </row>
    <row r="200" spans="1:20" ht="15.75" customHeight="1">
      <c r="A200" s="82">
        <v>174</v>
      </c>
      <c r="B200" s="68" t="s">
        <v>987</v>
      </c>
      <c r="C200" s="82" t="s">
        <v>2438</v>
      </c>
      <c r="D200" s="82" t="s">
        <v>286</v>
      </c>
      <c r="E200" s="82">
        <v>30</v>
      </c>
      <c r="F200" s="82">
        <f t="shared" si="70"/>
        <v>12</v>
      </c>
      <c r="G200" s="82">
        <f t="shared" si="71"/>
        <v>6</v>
      </c>
      <c r="H200" s="82">
        <f t="shared" si="72"/>
        <v>6</v>
      </c>
      <c r="I200" s="82">
        <f t="shared" si="73"/>
        <v>6</v>
      </c>
      <c r="J200" s="199">
        <v>6286320.9050000003</v>
      </c>
      <c r="K200" s="215">
        <f t="shared" si="78"/>
        <v>188589627.15000001</v>
      </c>
      <c r="L200" s="185">
        <f t="shared" si="74"/>
        <v>75435850.859999999</v>
      </c>
      <c r="M200" s="186">
        <f t="shared" si="75"/>
        <v>37717925.43</v>
      </c>
      <c r="N200" s="187">
        <f t="shared" si="76"/>
        <v>37717925.43</v>
      </c>
      <c r="O200" s="985">
        <f t="shared" si="77"/>
        <v>37717925.43</v>
      </c>
      <c r="P200" s="986"/>
      <c r="Q200" s="452"/>
      <c r="R200" s="452"/>
      <c r="S200" s="452">
        <f t="shared" si="79"/>
        <v>30</v>
      </c>
      <c r="T200" s="189"/>
    </row>
    <row r="201" spans="1:20" ht="15.75" customHeight="1">
      <c r="A201" s="82">
        <v>175</v>
      </c>
      <c r="B201" s="88" t="s">
        <v>988</v>
      </c>
      <c r="C201" s="82" t="s">
        <v>2439</v>
      </c>
      <c r="D201" s="82" t="s">
        <v>286</v>
      </c>
      <c r="E201" s="82">
        <v>100</v>
      </c>
      <c r="F201" s="82">
        <f t="shared" si="70"/>
        <v>40</v>
      </c>
      <c r="G201" s="82">
        <f t="shared" si="71"/>
        <v>20</v>
      </c>
      <c r="H201" s="82">
        <f t="shared" si="72"/>
        <v>20</v>
      </c>
      <c r="I201" s="82">
        <f t="shared" si="73"/>
        <v>20</v>
      </c>
      <c r="J201" s="199">
        <v>7230539.1860000007</v>
      </c>
      <c r="K201" s="215">
        <f t="shared" si="78"/>
        <v>723053918.60000002</v>
      </c>
      <c r="L201" s="185">
        <f t="shared" si="74"/>
        <v>289221567.44000006</v>
      </c>
      <c r="M201" s="186">
        <f t="shared" si="75"/>
        <v>144610783.72000003</v>
      </c>
      <c r="N201" s="187">
        <f t="shared" si="76"/>
        <v>144610783.72000003</v>
      </c>
      <c r="O201" s="985">
        <f t="shared" si="77"/>
        <v>144610783.72000003</v>
      </c>
      <c r="P201" s="986"/>
      <c r="Q201" s="452"/>
      <c r="R201" s="452"/>
      <c r="S201" s="452">
        <f t="shared" si="79"/>
        <v>100</v>
      </c>
      <c r="T201" s="189"/>
    </row>
    <row r="202" spans="1:20" ht="15.75" customHeight="1">
      <c r="A202" s="82">
        <v>176</v>
      </c>
      <c r="B202" s="88" t="s">
        <v>975</v>
      </c>
      <c r="C202" s="82" t="s">
        <v>2440</v>
      </c>
      <c r="D202" s="82" t="s">
        <v>286</v>
      </c>
      <c r="E202" s="82">
        <v>100</v>
      </c>
      <c r="F202" s="82">
        <f t="shared" si="70"/>
        <v>40</v>
      </c>
      <c r="G202" s="82">
        <f t="shared" si="71"/>
        <v>20</v>
      </c>
      <c r="H202" s="82">
        <f t="shared" si="72"/>
        <v>20</v>
      </c>
      <c r="I202" s="82">
        <f t="shared" si="73"/>
        <v>20</v>
      </c>
      <c r="J202" s="199">
        <v>3038495.3520000004</v>
      </c>
      <c r="K202" s="215">
        <f t="shared" si="78"/>
        <v>303849535.20000005</v>
      </c>
      <c r="L202" s="185">
        <f t="shared" si="74"/>
        <v>121539814.08000001</v>
      </c>
      <c r="M202" s="186">
        <f t="shared" si="75"/>
        <v>60769907.040000007</v>
      </c>
      <c r="N202" s="187">
        <f t="shared" si="76"/>
        <v>60769907.040000007</v>
      </c>
      <c r="O202" s="985">
        <f t="shared" si="77"/>
        <v>60769907.040000007</v>
      </c>
      <c r="P202" s="984" t="s">
        <v>4742</v>
      </c>
      <c r="Q202" s="452" t="s">
        <v>4818</v>
      </c>
      <c r="R202" s="452">
        <v>40</v>
      </c>
      <c r="S202" s="452">
        <f t="shared" si="79"/>
        <v>60</v>
      </c>
      <c r="T202" s="189">
        <v>112800000</v>
      </c>
    </row>
    <row r="203" spans="1:20" ht="15.75" customHeight="1">
      <c r="A203" s="82">
        <v>177</v>
      </c>
      <c r="B203" s="88" t="s">
        <v>976</v>
      </c>
      <c r="C203" s="82" t="s">
        <v>2441</v>
      </c>
      <c r="D203" s="82" t="s">
        <v>286</v>
      </c>
      <c r="E203" s="82">
        <v>200</v>
      </c>
      <c r="F203" s="82">
        <f t="shared" si="70"/>
        <v>80</v>
      </c>
      <c r="G203" s="82">
        <f t="shared" si="71"/>
        <v>40</v>
      </c>
      <c r="H203" s="82">
        <f t="shared" si="72"/>
        <v>40</v>
      </c>
      <c r="I203" s="82">
        <f t="shared" si="73"/>
        <v>40</v>
      </c>
      <c r="J203" s="199">
        <v>3158479.1740000001</v>
      </c>
      <c r="K203" s="215">
        <f t="shared" si="78"/>
        <v>631695834.80000007</v>
      </c>
      <c r="L203" s="185">
        <f t="shared" si="74"/>
        <v>252678333.92000002</v>
      </c>
      <c r="M203" s="186">
        <f t="shared" si="75"/>
        <v>126339166.96000001</v>
      </c>
      <c r="N203" s="187">
        <f t="shared" si="76"/>
        <v>126339166.96000001</v>
      </c>
      <c r="O203" s="985">
        <f t="shared" si="77"/>
        <v>126339166.96000001</v>
      </c>
      <c r="P203" s="984" t="s">
        <v>4742</v>
      </c>
      <c r="Q203" s="452" t="s">
        <v>4819</v>
      </c>
      <c r="R203" s="452">
        <v>80</v>
      </c>
      <c r="S203" s="452">
        <f t="shared" si="79"/>
        <v>120</v>
      </c>
      <c r="T203" s="189">
        <v>232000000</v>
      </c>
    </row>
    <row r="204" spans="1:20" ht="15.75" customHeight="1">
      <c r="A204" s="82">
        <v>178</v>
      </c>
      <c r="B204" s="88" t="s">
        <v>977</v>
      </c>
      <c r="C204" s="52" t="s">
        <v>2442</v>
      </c>
      <c r="D204" s="82" t="s">
        <v>286</v>
      </c>
      <c r="E204" s="82">
        <v>40</v>
      </c>
      <c r="F204" s="82">
        <f t="shared" si="70"/>
        <v>16</v>
      </c>
      <c r="G204" s="82">
        <f t="shared" si="71"/>
        <v>8</v>
      </c>
      <c r="H204" s="82">
        <f t="shared" si="72"/>
        <v>8</v>
      </c>
      <c r="I204" s="82">
        <f t="shared" si="73"/>
        <v>8</v>
      </c>
      <c r="J204" s="199">
        <v>3318081.2639999995</v>
      </c>
      <c r="K204" s="215">
        <f t="shared" si="78"/>
        <v>132723250.55999997</v>
      </c>
      <c r="L204" s="185">
        <f t="shared" si="74"/>
        <v>53089300.223999992</v>
      </c>
      <c r="M204" s="186">
        <f t="shared" si="75"/>
        <v>26544650.111999996</v>
      </c>
      <c r="N204" s="187">
        <f t="shared" si="76"/>
        <v>26544650.111999996</v>
      </c>
      <c r="O204" s="985">
        <f t="shared" si="77"/>
        <v>26544650.111999996</v>
      </c>
      <c r="P204" s="984" t="s">
        <v>4742</v>
      </c>
      <c r="Q204" s="452" t="s">
        <v>4820</v>
      </c>
      <c r="R204" s="452">
        <v>16</v>
      </c>
      <c r="S204" s="452">
        <f t="shared" si="79"/>
        <v>24</v>
      </c>
      <c r="T204" s="189">
        <v>49600000</v>
      </c>
    </row>
    <row r="205" spans="1:20" ht="30">
      <c r="A205" s="82">
        <v>179</v>
      </c>
      <c r="B205" s="224" t="s">
        <v>989</v>
      </c>
      <c r="C205" s="51"/>
      <c r="D205" s="68" t="s">
        <v>286</v>
      </c>
      <c r="E205" s="68">
        <v>50</v>
      </c>
      <c r="F205" s="68">
        <f t="shared" si="70"/>
        <v>20</v>
      </c>
      <c r="G205" s="68">
        <f t="shared" si="71"/>
        <v>10</v>
      </c>
      <c r="H205" s="68">
        <f t="shared" si="72"/>
        <v>10</v>
      </c>
      <c r="I205" s="68">
        <f t="shared" si="73"/>
        <v>10</v>
      </c>
      <c r="J205" s="199">
        <v>4790012.8220000006</v>
      </c>
      <c r="K205" s="215">
        <f t="shared" si="78"/>
        <v>239500641.10000002</v>
      </c>
      <c r="L205" s="185">
        <f t="shared" si="74"/>
        <v>95800256.440000013</v>
      </c>
      <c r="M205" s="186">
        <f t="shared" si="75"/>
        <v>47900128.220000006</v>
      </c>
      <c r="N205" s="187">
        <f t="shared" si="76"/>
        <v>47900128.220000006</v>
      </c>
      <c r="O205" s="985">
        <f t="shared" si="77"/>
        <v>47900128.220000006</v>
      </c>
      <c r="P205" s="986"/>
      <c r="Q205" s="452"/>
      <c r="R205" s="452"/>
      <c r="S205" s="452">
        <f t="shared" si="79"/>
        <v>50</v>
      </c>
      <c r="T205" s="189"/>
    </row>
    <row r="206" spans="1:20" ht="15.75" customHeight="1">
      <c r="A206" s="82">
        <v>180</v>
      </c>
      <c r="B206" s="224" t="s">
        <v>990</v>
      </c>
      <c r="C206" s="51"/>
      <c r="D206" s="68" t="s">
        <v>286</v>
      </c>
      <c r="E206" s="68">
        <v>50</v>
      </c>
      <c r="F206" s="68">
        <f t="shared" si="70"/>
        <v>20</v>
      </c>
      <c r="G206" s="68">
        <f t="shared" si="71"/>
        <v>10</v>
      </c>
      <c r="H206" s="68">
        <f t="shared" si="72"/>
        <v>10</v>
      </c>
      <c r="I206" s="68">
        <f t="shared" si="73"/>
        <v>10</v>
      </c>
      <c r="J206" s="199">
        <v>8015873.8430000003</v>
      </c>
      <c r="K206" s="215">
        <f t="shared" si="78"/>
        <v>400793692.15000004</v>
      </c>
      <c r="L206" s="185">
        <f t="shared" si="74"/>
        <v>160317476.86000001</v>
      </c>
      <c r="M206" s="186">
        <f t="shared" si="75"/>
        <v>80158738.430000007</v>
      </c>
      <c r="N206" s="187">
        <f t="shared" si="76"/>
        <v>80158738.430000007</v>
      </c>
      <c r="O206" s="985">
        <f t="shared" si="77"/>
        <v>80158738.430000007</v>
      </c>
      <c r="P206" s="986"/>
      <c r="Q206" s="452"/>
      <c r="R206" s="452"/>
      <c r="S206" s="452">
        <f t="shared" si="79"/>
        <v>50</v>
      </c>
      <c r="T206" s="189"/>
    </row>
    <row r="207" spans="1:20" ht="15.75" customHeight="1">
      <c r="A207" s="1240" t="s">
        <v>991</v>
      </c>
      <c r="B207" s="1182"/>
      <c r="C207" s="1182"/>
      <c r="D207" s="1182"/>
      <c r="E207" s="1182"/>
      <c r="F207" s="1182"/>
      <c r="G207" s="1182"/>
      <c r="H207" s="1182"/>
      <c r="I207" s="1241"/>
      <c r="K207" s="215">
        <f t="shared" si="78"/>
        <v>0</v>
      </c>
      <c r="P207" s="986"/>
      <c r="Q207" s="452"/>
      <c r="R207" s="452"/>
      <c r="S207" s="452"/>
      <c r="T207" s="189"/>
    </row>
    <row r="208" spans="1:20" ht="15.75" customHeight="1">
      <c r="A208" s="82">
        <v>181</v>
      </c>
      <c r="B208" s="88" t="s">
        <v>992</v>
      </c>
      <c r="C208" s="52" t="s">
        <v>2443</v>
      </c>
      <c r="D208" s="82" t="s">
        <v>286</v>
      </c>
      <c r="E208" s="82">
        <v>10</v>
      </c>
      <c r="F208" s="82"/>
      <c r="G208" s="82">
        <v>10</v>
      </c>
      <c r="H208" s="82"/>
      <c r="I208" s="82"/>
      <c r="J208" s="199">
        <v>27676439.337999996</v>
      </c>
      <c r="K208" s="215">
        <f t="shared" si="78"/>
        <v>276764393.37999994</v>
      </c>
      <c r="L208" s="185">
        <f t="shared" ref="L208:L228" si="80">J208*F208</f>
        <v>0</v>
      </c>
      <c r="M208" s="186">
        <f t="shared" ref="M208:M228" si="81">J208*G208</f>
        <v>276764393.37999994</v>
      </c>
      <c r="N208" s="187">
        <f t="shared" ref="N208:N228" si="82">J208*H208</f>
        <v>0</v>
      </c>
      <c r="O208" s="985">
        <f t="shared" ref="O208:O228" si="83">J208*I208</f>
        <v>0</v>
      </c>
      <c r="P208" s="986"/>
      <c r="Q208" s="452"/>
      <c r="R208" s="452"/>
      <c r="S208" s="452">
        <f t="shared" si="79"/>
        <v>10</v>
      </c>
      <c r="T208" s="189"/>
    </row>
    <row r="209" spans="1:20" ht="15.75" customHeight="1">
      <c r="A209" s="82">
        <v>182</v>
      </c>
      <c r="B209" s="88" t="s">
        <v>993</v>
      </c>
      <c r="C209" s="52" t="s">
        <v>2444</v>
      </c>
      <c r="D209" s="82" t="s">
        <v>286</v>
      </c>
      <c r="E209" s="82">
        <v>10</v>
      </c>
      <c r="F209" s="82"/>
      <c r="G209" s="82">
        <v>10</v>
      </c>
      <c r="H209" s="82"/>
      <c r="I209" s="82"/>
      <c r="J209" s="199">
        <v>34121541.228999995</v>
      </c>
      <c r="K209" s="215">
        <f t="shared" si="78"/>
        <v>341215412.28999996</v>
      </c>
      <c r="L209" s="185">
        <f t="shared" si="80"/>
        <v>0</v>
      </c>
      <c r="M209" s="186">
        <f t="shared" si="81"/>
        <v>341215412.28999996</v>
      </c>
      <c r="N209" s="187">
        <f t="shared" si="82"/>
        <v>0</v>
      </c>
      <c r="O209" s="985">
        <f t="shared" si="83"/>
        <v>0</v>
      </c>
      <c r="P209" s="986"/>
      <c r="Q209" s="452"/>
      <c r="R209" s="452"/>
      <c r="S209" s="452">
        <f t="shared" si="79"/>
        <v>10</v>
      </c>
      <c r="T209" s="189"/>
    </row>
    <row r="210" spans="1:20" ht="15.75" customHeight="1">
      <c r="A210" s="82">
        <v>183</v>
      </c>
      <c r="B210" s="88" t="s">
        <v>994</v>
      </c>
      <c r="C210" s="52" t="s">
        <v>2445</v>
      </c>
      <c r="D210" s="82" t="s">
        <v>286</v>
      </c>
      <c r="E210" s="82">
        <v>10</v>
      </c>
      <c r="F210" s="82"/>
      <c r="G210" s="82">
        <v>10</v>
      </c>
      <c r="H210" s="82"/>
      <c r="I210" s="82"/>
      <c r="J210" s="199">
        <v>39114161.463</v>
      </c>
      <c r="K210" s="215">
        <f t="shared" si="78"/>
        <v>391141614.63</v>
      </c>
      <c r="L210" s="185">
        <f t="shared" si="80"/>
        <v>0</v>
      </c>
      <c r="M210" s="186">
        <f t="shared" si="81"/>
        <v>391141614.63</v>
      </c>
      <c r="N210" s="187">
        <f t="shared" si="82"/>
        <v>0</v>
      </c>
      <c r="O210" s="985">
        <f t="shared" si="83"/>
        <v>0</v>
      </c>
      <c r="P210" s="986"/>
      <c r="Q210" s="452"/>
      <c r="R210" s="452"/>
      <c r="S210" s="452">
        <f t="shared" si="79"/>
        <v>10</v>
      </c>
      <c r="T210" s="189"/>
    </row>
    <row r="211" spans="1:20" ht="15.75" customHeight="1">
      <c r="A211" s="82">
        <v>184</v>
      </c>
      <c r="B211" s="88" t="s">
        <v>995</v>
      </c>
      <c r="C211" s="52"/>
      <c r="D211" s="82" t="s">
        <v>286</v>
      </c>
      <c r="E211" s="82">
        <v>70</v>
      </c>
      <c r="F211" s="82">
        <f t="shared" ref="F211:F228" si="84">E211*0.4</f>
        <v>28</v>
      </c>
      <c r="G211" s="82">
        <f t="shared" ref="G211:G228" si="85">E211*0.2</f>
        <v>14</v>
      </c>
      <c r="H211" s="82">
        <f t="shared" ref="H211:H228" si="86">E211*0.2</f>
        <v>14</v>
      </c>
      <c r="I211" s="82">
        <f t="shared" ref="I211:I228" si="87">E211*0.2</f>
        <v>14</v>
      </c>
      <c r="J211" s="199">
        <v>5302022.4850000003</v>
      </c>
      <c r="K211" s="215">
        <f t="shared" si="78"/>
        <v>371141573.95000005</v>
      </c>
      <c r="L211" s="185">
        <f t="shared" si="80"/>
        <v>148456629.58000001</v>
      </c>
      <c r="M211" s="186">
        <f t="shared" si="81"/>
        <v>74228314.790000007</v>
      </c>
      <c r="N211" s="187">
        <f t="shared" si="82"/>
        <v>74228314.790000007</v>
      </c>
      <c r="O211" s="985">
        <f t="shared" si="83"/>
        <v>74228314.790000007</v>
      </c>
      <c r="P211" s="986"/>
      <c r="Q211" s="452"/>
      <c r="R211" s="452"/>
      <c r="S211" s="452">
        <f t="shared" si="79"/>
        <v>70</v>
      </c>
      <c r="T211" s="189"/>
    </row>
    <row r="212" spans="1:20" ht="15.75" customHeight="1">
      <c r="A212" s="82">
        <v>185</v>
      </c>
      <c r="B212" s="88" t="s">
        <v>996</v>
      </c>
      <c r="C212" s="52"/>
      <c r="D212" s="82" t="s">
        <v>286</v>
      </c>
      <c r="E212" s="82">
        <v>100</v>
      </c>
      <c r="F212" s="82">
        <f t="shared" si="84"/>
        <v>40</v>
      </c>
      <c r="G212" s="82">
        <f t="shared" si="85"/>
        <v>20</v>
      </c>
      <c r="H212" s="82">
        <f t="shared" si="86"/>
        <v>20</v>
      </c>
      <c r="I212" s="82">
        <f t="shared" si="87"/>
        <v>20</v>
      </c>
      <c r="J212" s="199">
        <v>6213961.1150000002</v>
      </c>
      <c r="K212" s="215">
        <f t="shared" si="78"/>
        <v>621396111.5</v>
      </c>
      <c r="L212" s="185">
        <f t="shared" si="80"/>
        <v>248558444.60000002</v>
      </c>
      <c r="M212" s="186">
        <f t="shared" si="81"/>
        <v>124279222.30000001</v>
      </c>
      <c r="N212" s="187">
        <f t="shared" si="82"/>
        <v>124279222.30000001</v>
      </c>
      <c r="O212" s="985">
        <f t="shared" si="83"/>
        <v>124279222.30000001</v>
      </c>
      <c r="P212" s="986"/>
      <c r="Q212" s="452"/>
      <c r="R212" s="452"/>
      <c r="S212" s="452">
        <f t="shared" si="79"/>
        <v>100</v>
      </c>
      <c r="T212" s="189"/>
    </row>
    <row r="213" spans="1:20" ht="15.75" customHeight="1">
      <c r="A213" s="82">
        <v>186</v>
      </c>
      <c r="B213" s="88" t="s">
        <v>997</v>
      </c>
      <c r="C213" s="52"/>
      <c r="D213" s="82" t="s">
        <v>286</v>
      </c>
      <c r="E213" s="82">
        <v>30</v>
      </c>
      <c r="F213" s="82">
        <f t="shared" si="84"/>
        <v>12</v>
      </c>
      <c r="G213" s="82">
        <f t="shared" si="85"/>
        <v>6</v>
      </c>
      <c r="H213" s="82">
        <f t="shared" si="86"/>
        <v>6</v>
      </c>
      <c r="I213" s="82">
        <f t="shared" si="87"/>
        <v>6</v>
      </c>
      <c r="J213" s="199">
        <v>9321942.3930000011</v>
      </c>
      <c r="K213" s="215">
        <f t="shared" si="78"/>
        <v>279658271.79000002</v>
      </c>
      <c r="L213" s="185">
        <f t="shared" si="80"/>
        <v>111863308.71600002</v>
      </c>
      <c r="M213" s="186">
        <f t="shared" si="81"/>
        <v>55931654.35800001</v>
      </c>
      <c r="N213" s="187">
        <f t="shared" si="82"/>
        <v>55931654.35800001</v>
      </c>
      <c r="O213" s="985">
        <f t="shared" si="83"/>
        <v>55931654.35800001</v>
      </c>
      <c r="P213" s="986"/>
      <c r="Q213" s="452"/>
      <c r="R213" s="452"/>
      <c r="S213" s="452">
        <f t="shared" si="79"/>
        <v>30</v>
      </c>
      <c r="T213" s="189"/>
    </row>
    <row r="214" spans="1:20" ht="15.75" customHeight="1">
      <c r="A214" s="82">
        <v>187</v>
      </c>
      <c r="B214" s="88" t="s">
        <v>998</v>
      </c>
      <c r="C214" s="52" t="s">
        <v>2446</v>
      </c>
      <c r="D214" s="82" t="s">
        <v>286</v>
      </c>
      <c r="E214" s="82">
        <v>20</v>
      </c>
      <c r="F214" s="82">
        <f t="shared" si="84"/>
        <v>8</v>
      </c>
      <c r="G214" s="82">
        <f t="shared" si="85"/>
        <v>4</v>
      </c>
      <c r="H214" s="82">
        <f t="shared" si="86"/>
        <v>4</v>
      </c>
      <c r="I214" s="82">
        <f t="shared" si="87"/>
        <v>4</v>
      </c>
      <c r="J214" s="199">
        <v>82632108.953999996</v>
      </c>
      <c r="K214" s="215">
        <f t="shared" si="78"/>
        <v>1652642179.0799999</v>
      </c>
      <c r="L214" s="185">
        <f t="shared" si="80"/>
        <v>661056871.63199997</v>
      </c>
      <c r="M214" s="186">
        <f t="shared" si="81"/>
        <v>330528435.81599998</v>
      </c>
      <c r="N214" s="187">
        <f t="shared" si="82"/>
        <v>330528435.81599998</v>
      </c>
      <c r="O214" s="985">
        <f t="shared" si="83"/>
        <v>330528435.81599998</v>
      </c>
      <c r="P214" s="986"/>
      <c r="Q214" s="452"/>
      <c r="R214" s="452"/>
      <c r="S214" s="452">
        <f t="shared" si="79"/>
        <v>20</v>
      </c>
      <c r="T214" s="189"/>
    </row>
    <row r="215" spans="1:20" ht="15.75" customHeight="1">
      <c r="A215" s="82">
        <v>188</v>
      </c>
      <c r="B215" s="88" t="s">
        <v>999</v>
      </c>
      <c r="C215" s="52" t="s">
        <v>2447</v>
      </c>
      <c r="D215" s="82" t="s">
        <v>286</v>
      </c>
      <c r="E215" s="82">
        <v>20</v>
      </c>
      <c r="F215" s="82">
        <f t="shared" si="84"/>
        <v>8</v>
      </c>
      <c r="G215" s="82">
        <f t="shared" si="85"/>
        <v>4</v>
      </c>
      <c r="H215" s="82">
        <f t="shared" si="86"/>
        <v>4</v>
      </c>
      <c r="I215" s="82">
        <f t="shared" si="87"/>
        <v>4</v>
      </c>
      <c r="J215" s="199">
        <v>85651154.404999986</v>
      </c>
      <c r="K215" s="215">
        <f t="shared" si="78"/>
        <v>1713023088.0999997</v>
      </c>
      <c r="L215" s="185">
        <f t="shared" si="80"/>
        <v>685209235.23999989</v>
      </c>
      <c r="M215" s="186">
        <f t="shared" si="81"/>
        <v>342604617.61999995</v>
      </c>
      <c r="N215" s="187">
        <f t="shared" si="82"/>
        <v>342604617.61999995</v>
      </c>
      <c r="O215" s="985">
        <f t="shared" si="83"/>
        <v>342604617.61999995</v>
      </c>
      <c r="P215" s="986"/>
      <c r="Q215" s="452"/>
      <c r="R215" s="452"/>
      <c r="S215" s="452">
        <f t="shared" si="79"/>
        <v>20</v>
      </c>
      <c r="T215" s="189"/>
    </row>
    <row r="216" spans="1:20" ht="15.75" customHeight="1">
      <c r="A216" s="82">
        <v>189</v>
      </c>
      <c r="B216" s="88" t="s">
        <v>1000</v>
      </c>
      <c r="C216" s="52"/>
      <c r="D216" s="82" t="s">
        <v>286</v>
      </c>
      <c r="E216" s="82">
        <v>20</v>
      </c>
      <c r="F216" s="82">
        <f t="shared" si="84"/>
        <v>8</v>
      </c>
      <c r="G216" s="82">
        <f t="shared" si="85"/>
        <v>4</v>
      </c>
      <c r="H216" s="82">
        <f t="shared" si="86"/>
        <v>4</v>
      </c>
      <c r="I216" s="82">
        <f t="shared" si="87"/>
        <v>4</v>
      </c>
      <c r="J216" s="199">
        <v>120060595.22399999</v>
      </c>
      <c r="K216" s="215">
        <f t="shared" si="78"/>
        <v>2401211904.48</v>
      </c>
      <c r="L216" s="185">
        <f t="shared" si="80"/>
        <v>960484761.79199994</v>
      </c>
      <c r="M216" s="186">
        <f t="shared" si="81"/>
        <v>480242380.89599997</v>
      </c>
      <c r="N216" s="187">
        <f t="shared" si="82"/>
        <v>480242380.89599997</v>
      </c>
      <c r="O216" s="985">
        <f t="shared" si="83"/>
        <v>480242380.89599997</v>
      </c>
      <c r="P216" s="986"/>
      <c r="Q216" s="452"/>
      <c r="R216" s="452"/>
      <c r="S216" s="452">
        <f t="shared" si="79"/>
        <v>20</v>
      </c>
      <c r="T216" s="189"/>
    </row>
    <row r="217" spans="1:20" ht="15.75" customHeight="1">
      <c r="A217" s="82">
        <v>190</v>
      </c>
      <c r="B217" s="224" t="s">
        <v>1001</v>
      </c>
      <c r="C217" s="51" t="s">
        <v>2448</v>
      </c>
      <c r="D217" s="68" t="s">
        <v>286</v>
      </c>
      <c r="E217" s="68">
        <v>100</v>
      </c>
      <c r="F217" s="68">
        <f t="shared" si="84"/>
        <v>40</v>
      </c>
      <c r="G217" s="68">
        <f t="shared" si="85"/>
        <v>20</v>
      </c>
      <c r="H217" s="68">
        <f t="shared" si="86"/>
        <v>20</v>
      </c>
      <c r="I217" s="68">
        <f t="shared" si="87"/>
        <v>20</v>
      </c>
      <c r="J217" s="199">
        <v>7649404.8640000001</v>
      </c>
      <c r="K217" s="215">
        <f t="shared" si="78"/>
        <v>764940486.39999998</v>
      </c>
      <c r="L217" s="185">
        <f t="shared" si="80"/>
        <v>305976194.56</v>
      </c>
      <c r="M217" s="186">
        <f t="shared" si="81"/>
        <v>152988097.28</v>
      </c>
      <c r="N217" s="187">
        <f t="shared" si="82"/>
        <v>152988097.28</v>
      </c>
      <c r="O217" s="985">
        <f t="shared" si="83"/>
        <v>152988097.28</v>
      </c>
      <c r="P217" s="986"/>
      <c r="Q217" s="452"/>
      <c r="R217" s="452"/>
      <c r="S217" s="452">
        <f t="shared" si="79"/>
        <v>100</v>
      </c>
      <c r="T217" s="189"/>
    </row>
    <row r="218" spans="1:20" ht="15.75" customHeight="1">
      <c r="A218" s="82">
        <v>191</v>
      </c>
      <c r="B218" s="224" t="s">
        <v>1002</v>
      </c>
      <c r="C218" s="51" t="s">
        <v>2449</v>
      </c>
      <c r="D218" s="68" t="s">
        <v>286</v>
      </c>
      <c r="E218" s="68">
        <v>100</v>
      </c>
      <c r="F218" s="68">
        <f t="shared" si="84"/>
        <v>40</v>
      </c>
      <c r="G218" s="68">
        <f t="shared" si="85"/>
        <v>20</v>
      </c>
      <c r="H218" s="68">
        <f t="shared" si="86"/>
        <v>20</v>
      </c>
      <c r="I218" s="68">
        <f t="shared" si="87"/>
        <v>20</v>
      </c>
      <c r="J218" s="199">
        <v>10678457.519999998</v>
      </c>
      <c r="K218" s="215">
        <f t="shared" si="78"/>
        <v>1067845751.9999998</v>
      </c>
      <c r="L218" s="185">
        <f t="shared" si="80"/>
        <v>427138300.79999989</v>
      </c>
      <c r="M218" s="186">
        <f t="shared" si="81"/>
        <v>213569150.39999995</v>
      </c>
      <c r="N218" s="187">
        <f t="shared" si="82"/>
        <v>213569150.39999995</v>
      </c>
      <c r="O218" s="985">
        <f t="shared" si="83"/>
        <v>213569150.39999995</v>
      </c>
      <c r="P218" s="986"/>
      <c r="Q218" s="452"/>
      <c r="R218" s="452"/>
      <c r="S218" s="452">
        <f t="shared" si="79"/>
        <v>100</v>
      </c>
      <c r="T218" s="189"/>
    </row>
    <row r="219" spans="1:20" ht="15.75" customHeight="1">
      <c r="A219" s="82">
        <v>192</v>
      </c>
      <c r="B219" s="224" t="s">
        <v>1003</v>
      </c>
      <c r="C219" s="51"/>
      <c r="D219" s="68" t="s">
        <v>286</v>
      </c>
      <c r="E219" s="68">
        <v>100</v>
      </c>
      <c r="F219" s="68">
        <f t="shared" si="84"/>
        <v>40</v>
      </c>
      <c r="G219" s="68">
        <f t="shared" si="85"/>
        <v>20</v>
      </c>
      <c r="H219" s="68">
        <f t="shared" si="86"/>
        <v>20</v>
      </c>
      <c r="I219" s="68">
        <f t="shared" si="87"/>
        <v>20</v>
      </c>
      <c r="J219" s="199">
        <v>15256728.148</v>
      </c>
      <c r="K219" s="215">
        <f t="shared" si="78"/>
        <v>1525672814.8</v>
      </c>
      <c r="L219" s="185">
        <f t="shared" si="80"/>
        <v>610269125.91999996</v>
      </c>
      <c r="M219" s="186">
        <f t="shared" si="81"/>
        <v>305134562.95999998</v>
      </c>
      <c r="N219" s="187">
        <f t="shared" si="82"/>
        <v>305134562.95999998</v>
      </c>
      <c r="O219" s="985">
        <f t="shared" si="83"/>
        <v>305134562.95999998</v>
      </c>
      <c r="P219" s="986"/>
      <c r="Q219" s="452"/>
      <c r="R219" s="452"/>
      <c r="S219" s="452">
        <f t="shared" si="79"/>
        <v>100</v>
      </c>
      <c r="T219" s="189"/>
    </row>
    <row r="220" spans="1:20" ht="15.75" customHeight="1">
      <c r="A220" s="82">
        <v>193</v>
      </c>
      <c r="B220" s="68" t="s">
        <v>2450</v>
      </c>
      <c r="C220" s="68" t="s">
        <v>2451</v>
      </c>
      <c r="D220" s="68" t="s">
        <v>286</v>
      </c>
      <c r="E220" s="68">
        <v>50</v>
      </c>
      <c r="F220" s="68">
        <f t="shared" si="84"/>
        <v>20</v>
      </c>
      <c r="G220" s="68">
        <f t="shared" si="85"/>
        <v>10</v>
      </c>
      <c r="H220" s="68">
        <f t="shared" si="86"/>
        <v>10</v>
      </c>
      <c r="I220" s="68">
        <f t="shared" si="87"/>
        <v>10</v>
      </c>
      <c r="J220" s="199">
        <v>4059332.9000000004</v>
      </c>
      <c r="K220" s="215">
        <f t="shared" si="78"/>
        <v>202966645.00000003</v>
      </c>
      <c r="L220" s="185">
        <f t="shared" si="80"/>
        <v>81186658</v>
      </c>
      <c r="M220" s="186">
        <f t="shared" si="81"/>
        <v>40593329</v>
      </c>
      <c r="N220" s="187">
        <f t="shared" si="82"/>
        <v>40593329</v>
      </c>
      <c r="O220" s="985">
        <f t="shared" si="83"/>
        <v>40593329</v>
      </c>
      <c r="P220" s="986"/>
      <c r="Q220" s="452"/>
      <c r="R220" s="452"/>
      <c r="S220" s="452">
        <f t="shared" si="79"/>
        <v>50</v>
      </c>
      <c r="T220" s="189"/>
    </row>
    <row r="221" spans="1:20" ht="15.75" customHeight="1">
      <c r="A221" s="82">
        <v>194</v>
      </c>
      <c r="B221" s="68" t="s">
        <v>2452</v>
      </c>
      <c r="C221" s="68" t="s">
        <v>2453</v>
      </c>
      <c r="D221" s="68" t="s">
        <v>286</v>
      </c>
      <c r="E221" s="68">
        <v>50</v>
      </c>
      <c r="F221" s="68">
        <f t="shared" si="84"/>
        <v>20</v>
      </c>
      <c r="G221" s="68">
        <f t="shared" si="85"/>
        <v>10</v>
      </c>
      <c r="H221" s="68">
        <f t="shared" si="86"/>
        <v>10</v>
      </c>
      <c r="I221" s="68">
        <f t="shared" si="87"/>
        <v>10</v>
      </c>
      <c r="J221" s="199">
        <v>2621682.4339999999</v>
      </c>
      <c r="K221" s="215">
        <f t="shared" si="78"/>
        <v>131084121.69999999</v>
      </c>
      <c r="L221" s="185">
        <f t="shared" si="80"/>
        <v>52433648.68</v>
      </c>
      <c r="M221" s="186">
        <f t="shared" si="81"/>
        <v>26216824.34</v>
      </c>
      <c r="N221" s="187">
        <f t="shared" si="82"/>
        <v>26216824.34</v>
      </c>
      <c r="O221" s="985">
        <f t="shared" si="83"/>
        <v>26216824.34</v>
      </c>
      <c r="P221" s="986"/>
      <c r="Q221" s="452"/>
      <c r="R221" s="452"/>
      <c r="S221" s="452">
        <f t="shared" si="79"/>
        <v>50</v>
      </c>
      <c r="T221" s="189"/>
    </row>
    <row r="222" spans="1:20" ht="15.75" customHeight="1">
      <c r="A222" s="82">
        <v>195</v>
      </c>
      <c r="B222" s="68" t="s">
        <v>2454</v>
      </c>
      <c r="C222" s="68" t="s">
        <v>2455</v>
      </c>
      <c r="D222" s="68" t="s">
        <v>286</v>
      </c>
      <c r="E222" s="68">
        <v>50</v>
      </c>
      <c r="F222" s="68">
        <f t="shared" si="84"/>
        <v>20</v>
      </c>
      <c r="G222" s="68">
        <f t="shared" si="85"/>
        <v>10</v>
      </c>
      <c r="H222" s="68">
        <f t="shared" si="86"/>
        <v>10</v>
      </c>
      <c r="I222" s="68">
        <f t="shared" si="87"/>
        <v>10</v>
      </c>
      <c r="J222" s="199">
        <v>1606849.2090000003</v>
      </c>
      <c r="K222" s="215">
        <f t="shared" si="78"/>
        <v>80342460.450000018</v>
      </c>
      <c r="L222" s="185">
        <f t="shared" si="80"/>
        <v>32136984.180000007</v>
      </c>
      <c r="M222" s="186">
        <f t="shared" si="81"/>
        <v>16068492.090000004</v>
      </c>
      <c r="N222" s="187">
        <f t="shared" si="82"/>
        <v>16068492.090000004</v>
      </c>
      <c r="O222" s="985">
        <f t="shared" si="83"/>
        <v>16068492.090000004</v>
      </c>
      <c r="P222" s="986"/>
      <c r="Q222" s="452"/>
      <c r="R222" s="452"/>
      <c r="S222" s="452">
        <f t="shared" si="79"/>
        <v>50</v>
      </c>
      <c r="T222" s="189"/>
    </row>
    <row r="223" spans="1:20" ht="15.75" customHeight="1">
      <c r="A223" s="82">
        <v>196</v>
      </c>
      <c r="B223" s="68" t="s">
        <v>2456</v>
      </c>
      <c r="C223" s="68" t="s">
        <v>2457</v>
      </c>
      <c r="D223" s="68" t="s">
        <v>286</v>
      </c>
      <c r="E223" s="68">
        <v>100</v>
      </c>
      <c r="F223" s="68">
        <f t="shared" si="84"/>
        <v>40</v>
      </c>
      <c r="G223" s="68">
        <f t="shared" si="85"/>
        <v>20</v>
      </c>
      <c r="H223" s="68">
        <f t="shared" si="86"/>
        <v>20</v>
      </c>
      <c r="I223" s="68">
        <f t="shared" si="87"/>
        <v>20</v>
      </c>
      <c r="J223" s="199">
        <v>6342720.4860000005</v>
      </c>
      <c r="K223" s="215">
        <f t="shared" si="78"/>
        <v>634272048.60000002</v>
      </c>
      <c r="L223" s="185">
        <f t="shared" si="80"/>
        <v>253708819.44000003</v>
      </c>
      <c r="M223" s="186">
        <f t="shared" si="81"/>
        <v>126854409.72000001</v>
      </c>
      <c r="N223" s="187">
        <f t="shared" si="82"/>
        <v>126854409.72000001</v>
      </c>
      <c r="O223" s="985">
        <f t="shared" si="83"/>
        <v>126854409.72000001</v>
      </c>
      <c r="P223" s="986"/>
      <c r="Q223" s="452"/>
      <c r="R223" s="452"/>
      <c r="S223" s="452">
        <f t="shared" si="79"/>
        <v>100</v>
      </c>
      <c r="T223" s="189"/>
    </row>
    <row r="224" spans="1:20" ht="15.75" customHeight="1">
      <c r="A224" s="82">
        <v>197</v>
      </c>
      <c r="B224" s="68" t="s">
        <v>2458</v>
      </c>
      <c r="C224" s="68" t="s">
        <v>2459</v>
      </c>
      <c r="D224" s="68" t="s">
        <v>286</v>
      </c>
      <c r="E224" s="68">
        <v>100</v>
      </c>
      <c r="F224" s="68">
        <f t="shared" si="84"/>
        <v>40</v>
      </c>
      <c r="G224" s="68">
        <f t="shared" si="85"/>
        <v>20</v>
      </c>
      <c r="H224" s="68">
        <f t="shared" si="86"/>
        <v>20</v>
      </c>
      <c r="I224" s="68">
        <f t="shared" si="87"/>
        <v>20</v>
      </c>
      <c r="J224" s="199">
        <v>3805663.0829999996</v>
      </c>
      <c r="K224" s="215">
        <f t="shared" si="78"/>
        <v>380566308.29999995</v>
      </c>
      <c r="L224" s="185">
        <f t="shared" si="80"/>
        <v>152226523.31999999</v>
      </c>
      <c r="M224" s="186">
        <f t="shared" si="81"/>
        <v>76113261.659999996</v>
      </c>
      <c r="N224" s="187">
        <f t="shared" si="82"/>
        <v>76113261.659999996</v>
      </c>
      <c r="O224" s="985">
        <f t="shared" si="83"/>
        <v>76113261.659999996</v>
      </c>
      <c r="P224" s="986"/>
      <c r="Q224" s="452"/>
      <c r="R224" s="452"/>
      <c r="S224" s="452">
        <f t="shared" si="79"/>
        <v>100</v>
      </c>
      <c r="T224" s="189"/>
    </row>
    <row r="225" spans="1:20" ht="15.75" customHeight="1">
      <c r="A225" s="82">
        <v>198</v>
      </c>
      <c r="B225" s="68" t="s">
        <v>2460</v>
      </c>
      <c r="C225" s="68" t="s">
        <v>2461</v>
      </c>
      <c r="D225" s="68" t="s">
        <v>286</v>
      </c>
      <c r="E225" s="68">
        <v>100</v>
      </c>
      <c r="F225" s="68">
        <f t="shared" si="84"/>
        <v>40</v>
      </c>
      <c r="G225" s="68">
        <f t="shared" si="85"/>
        <v>20</v>
      </c>
      <c r="H225" s="68">
        <f t="shared" si="86"/>
        <v>20</v>
      </c>
      <c r="I225" s="68">
        <f t="shared" si="87"/>
        <v>20</v>
      </c>
      <c r="J225" s="199">
        <v>2241100.73</v>
      </c>
      <c r="K225" s="215">
        <f t="shared" si="78"/>
        <v>224110073</v>
      </c>
      <c r="L225" s="185">
        <f t="shared" si="80"/>
        <v>89644029.200000003</v>
      </c>
      <c r="M225" s="186">
        <f t="shared" si="81"/>
        <v>44822014.600000001</v>
      </c>
      <c r="N225" s="187">
        <f t="shared" si="82"/>
        <v>44822014.600000001</v>
      </c>
      <c r="O225" s="985">
        <f t="shared" si="83"/>
        <v>44822014.600000001</v>
      </c>
      <c r="P225" s="986"/>
      <c r="Q225" s="452"/>
      <c r="R225" s="452"/>
      <c r="S225" s="452">
        <f t="shared" si="79"/>
        <v>100</v>
      </c>
      <c r="T225" s="189"/>
    </row>
    <row r="226" spans="1:20" ht="15.75" customHeight="1">
      <c r="A226" s="82">
        <v>199</v>
      </c>
      <c r="B226" s="68" t="s">
        <v>2462</v>
      </c>
      <c r="C226" s="68"/>
      <c r="D226" s="68" t="s">
        <v>286</v>
      </c>
      <c r="E226" s="68">
        <v>30</v>
      </c>
      <c r="F226" s="68">
        <f t="shared" si="84"/>
        <v>12</v>
      </c>
      <c r="G226" s="68">
        <f t="shared" si="85"/>
        <v>6</v>
      </c>
      <c r="H226" s="68">
        <f t="shared" si="86"/>
        <v>6</v>
      </c>
      <c r="I226" s="68">
        <f t="shared" si="87"/>
        <v>6</v>
      </c>
      <c r="J226" s="199">
        <v>12685440.972000001</v>
      </c>
      <c r="K226" s="215">
        <f t="shared" si="78"/>
        <v>380563229.16000003</v>
      </c>
      <c r="L226" s="185">
        <f t="shared" si="80"/>
        <v>152225291.664</v>
      </c>
      <c r="M226" s="186">
        <f t="shared" si="81"/>
        <v>76112645.832000002</v>
      </c>
      <c r="N226" s="187">
        <f t="shared" si="82"/>
        <v>76112645.832000002</v>
      </c>
      <c r="O226" s="985">
        <f t="shared" si="83"/>
        <v>76112645.832000002</v>
      </c>
      <c r="P226" s="986"/>
      <c r="Q226" s="452"/>
      <c r="R226" s="452"/>
      <c r="S226" s="452">
        <f t="shared" si="79"/>
        <v>30</v>
      </c>
      <c r="T226" s="189"/>
    </row>
    <row r="227" spans="1:20" ht="15.75" customHeight="1">
      <c r="A227" s="82">
        <v>200</v>
      </c>
      <c r="B227" s="68" t="s">
        <v>2463</v>
      </c>
      <c r="C227" s="68"/>
      <c r="D227" s="68" t="s">
        <v>286</v>
      </c>
      <c r="E227" s="68">
        <v>30</v>
      </c>
      <c r="F227" s="68">
        <f t="shared" si="84"/>
        <v>12</v>
      </c>
      <c r="G227" s="68">
        <f t="shared" si="85"/>
        <v>6</v>
      </c>
      <c r="H227" s="68">
        <f t="shared" si="86"/>
        <v>6</v>
      </c>
      <c r="I227" s="68">
        <f t="shared" si="87"/>
        <v>6</v>
      </c>
      <c r="J227" s="199">
        <v>7651406.3049999997</v>
      </c>
      <c r="K227" s="215">
        <f t="shared" si="78"/>
        <v>229542189.14999998</v>
      </c>
      <c r="L227" s="185">
        <f t="shared" si="80"/>
        <v>91816875.659999996</v>
      </c>
      <c r="M227" s="186">
        <f t="shared" si="81"/>
        <v>45908437.829999998</v>
      </c>
      <c r="N227" s="187">
        <f t="shared" si="82"/>
        <v>45908437.829999998</v>
      </c>
      <c r="O227" s="985">
        <f t="shared" si="83"/>
        <v>45908437.829999998</v>
      </c>
      <c r="P227" s="986"/>
      <c r="Q227" s="452"/>
      <c r="R227" s="452"/>
      <c r="S227" s="452">
        <f t="shared" si="79"/>
        <v>30</v>
      </c>
      <c r="T227" s="189"/>
    </row>
    <row r="228" spans="1:20" ht="15.75" customHeight="1">
      <c r="A228" s="82">
        <v>201</v>
      </c>
      <c r="B228" s="68" t="s">
        <v>2464</v>
      </c>
      <c r="C228" s="68"/>
      <c r="D228" s="68" t="s">
        <v>286</v>
      </c>
      <c r="E228" s="68">
        <v>30</v>
      </c>
      <c r="F228" s="68">
        <f t="shared" si="84"/>
        <v>12</v>
      </c>
      <c r="G228" s="68">
        <f t="shared" si="85"/>
        <v>6</v>
      </c>
      <c r="H228" s="68">
        <f t="shared" si="86"/>
        <v>6</v>
      </c>
      <c r="I228" s="68">
        <f t="shared" si="87"/>
        <v>6</v>
      </c>
      <c r="J228" s="199">
        <v>4313054.0360000003</v>
      </c>
      <c r="K228" s="215">
        <f t="shared" si="78"/>
        <v>129391621.08000001</v>
      </c>
      <c r="L228" s="185">
        <f t="shared" si="80"/>
        <v>51756648.432000004</v>
      </c>
      <c r="M228" s="186">
        <f t="shared" si="81"/>
        <v>25878324.216000002</v>
      </c>
      <c r="N228" s="187">
        <f t="shared" si="82"/>
        <v>25878324.216000002</v>
      </c>
      <c r="O228" s="985">
        <f t="shared" si="83"/>
        <v>25878324.216000002</v>
      </c>
      <c r="P228" s="986"/>
      <c r="Q228" s="452"/>
      <c r="R228" s="452"/>
      <c r="S228" s="452">
        <f t="shared" si="79"/>
        <v>30</v>
      </c>
      <c r="T228" s="189"/>
    </row>
    <row r="229" spans="1:20" ht="18.75">
      <c r="A229" s="1149" t="s">
        <v>2816</v>
      </c>
      <c r="B229" s="1149"/>
      <c r="C229" s="1149"/>
      <c r="D229" s="1149"/>
      <c r="E229" s="1149"/>
      <c r="F229" s="1149"/>
      <c r="G229" s="1149"/>
      <c r="H229" s="1149"/>
      <c r="I229" s="1149"/>
      <c r="K229" s="384">
        <f>L229+M229+N229+O229</f>
        <v>209627515479.17719</v>
      </c>
      <c r="L229" s="385">
        <f>SUM(L4:L228)</f>
        <v>84515649016.253036</v>
      </c>
      <c r="M229" s="386">
        <f>SUM(M4:M228)</f>
        <v>44230154018.007057</v>
      </c>
      <c r="N229" s="387">
        <f>SUM(N4:N228)</f>
        <v>40640692331.480042</v>
      </c>
      <c r="O229" s="388">
        <f>SUM(O4:O228)</f>
        <v>40241020113.437042</v>
      </c>
      <c r="Q229" s="452"/>
      <c r="R229" s="452"/>
      <c r="S229" s="452"/>
      <c r="T229" s="189"/>
    </row>
    <row r="230" spans="1:20">
      <c r="A230" s="80"/>
      <c r="B230" s="80"/>
      <c r="C230" s="80"/>
      <c r="D230" s="80"/>
      <c r="E230" s="80"/>
      <c r="F230" s="80"/>
      <c r="G230" s="80"/>
      <c r="H230" s="80"/>
      <c r="I230" s="80"/>
    </row>
    <row r="231" spans="1:20">
      <c r="A231" s="80"/>
      <c r="B231" s="80"/>
      <c r="C231" s="80"/>
      <c r="D231" s="80"/>
      <c r="E231" s="80"/>
      <c r="F231" s="80"/>
      <c r="G231" s="80"/>
      <c r="H231" s="80"/>
      <c r="I231" s="80"/>
    </row>
    <row r="232" spans="1:20">
      <c r="A232" s="80"/>
      <c r="B232" s="80"/>
      <c r="C232" s="80"/>
      <c r="D232" s="80"/>
      <c r="E232" s="80"/>
      <c r="F232" s="80"/>
      <c r="G232" s="80"/>
      <c r="H232" s="80"/>
      <c r="I232" s="80"/>
      <c r="M232" s="416"/>
    </row>
    <row r="233" spans="1:20">
      <c r="A233" s="80"/>
      <c r="B233" s="80"/>
      <c r="C233" s="80"/>
      <c r="D233" s="80"/>
      <c r="E233" s="80"/>
      <c r="F233" s="80"/>
      <c r="G233" s="80"/>
      <c r="H233" s="80"/>
      <c r="I233" s="80"/>
    </row>
    <row r="234" spans="1:20">
      <c r="A234" s="80"/>
      <c r="B234" s="80"/>
      <c r="C234" s="80"/>
      <c r="D234" s="80"/>
      <c r="E234" s="80"/>
      <c r="F234" s="80"/>
      <c r="G234" s="80"/>
      <c r="H234" s="80"/>
      <c r="I234" s="80"/>
    </row>
    <row r="239" spans="1:20" s="93" customFormat="1">
      <c r="A239" s="92"/>
      <c r="C239" s="92"/>
      <c r="D239" s="92"/>
    </row>
  </sheetData>
  <customSheetViews>
    <customSheetView guid="{750F99BE-5C19-4848-A09A-0E4FD0F9F8FC}">
      <selection activeCell="M233" sqref="M233"/>
      <pageMargins left="0.7" right="0.7" top="0.75" bottom="0.75" header="0.3" footer="0.3"/>
      <pageSetup paperSize="9" orientation="portrait" verticalDpi="0" r:id="rId1"/>
    </customSheetView>
    <customSheetView guid="{DEF9C65D-F8A0-4631-A6BF-69DD462E745F}">
      <selection activeCell="M233" sqref="M233"/>
      <pageMargins left="0.7" right="0.7" top="0.75" bottom="0.75" header="0.3" footer="0.3"/>
      <pageSetup paperSize="9" orientation="portrait" verticalDpi="0" r:id="rId2"/>
    </customSheetView>
    <customSheetView guid="{F53706EC-596C-4347-9C22-A701412B0A41}">
      <selection activeCell="M233" sqref="M233"/>
      <pageMargins left="0.7" right="0.7" top="0.75" bottom="0.75" header="0.3" footer="0.3"/>
      <pageSetup paperSize="9" orientation="portrait" verticalDpi="0" r:id="rId3"/>
    </customSheetView>
    <customSheetView guid="{93AFD236-396B-4FF3-AB41-05714D8754DB}">
      <selection activeCell="M233" sqref="M233"/>
      <pageMargins left="0.7" right="0.7" top="0.75" bottom="0.75" header="0.3" footer="0.3"/>
      <pageSetup paperSize="9" orientation="portrait" verticalDpi="0" r:id="rId4"/>
    </customSheetView>
  </customSheetViews>
  <mergeCells count="31">
    <mergeCell ref="J1:J2"/>
    <mergeCell ref="K1:K2"/>
    <mergeCell ref="L1:L2"/>
    <mergeCell ref="M1:M2"/>
    <mergeCell ref="N1:N2"/>
    <mergeCell ref="A159:I159"/>
    <mergeCell ref="A146:I146"/>
    <mergeCell ref="A116:I116"/>
    <mergeCell ref="A111:I111"/>
    <mergeCell ref="A94:I94"/>
    <mergeCell ref="A229:I229"/>
    <mergeCell ref="A207:I207"/>
    <mergeCell ref="A191:I191"/>
    <mergeCell ref="A185:I185"/>
    <mergeCell ref="A168:I168"/>
    <mergeCell ref="Q1:Q2"/>
    <mergeCell ref="R1:R2"/>
    <mergeCell ref="S1:S2"/>
    <mergeCell ref="T1:T2"/>
    <mergeCell ref="A81:I81"/>
    <mergeCell ref="A50:I50"/>
    <mergeCell ref="A22:I22"/>
    <mergeCell ref="A3:I3"/>
    <mergeCell ref="F1:I1"/>
    <mergeCell ref="A1:A2"/>
    <mergeCell ref="B1:B2"/>
    <mergeCell ref="C1:C2"/>
    <mergeCell ref="D1:D2"/>
    <mergeCell ref="E1:E2"/>
    <mergeCell ref="P1:P2"/>
    <mergeCell ref="O1:O2"/>
  </mergeCells>
  <pageMargins left="0.7" right="0.7" top="0.75" bottom="0.75" header="0.3" footer="0.3"/>
  <pageSetup paperSize="9" orientation="portrait" verticalDpi="0"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U89"/>
  <sheetViews>
    <sheetView zoomScale="70" zoomScaleNormal="70" workbookViewId="0">
      <selection activeCell="K1" sqref="K1:U1048576"/>
    </sheetView>
  </sheetViews>
  <sheetFormatPr defaultRowHeight="15"/>
  <cols>
    <col min="2" max="2" width="44.42578125" bestFit="1" customWidth="1"/>
    <col min="3" max="3" width="48.85546875" customWidth="1"/>
    <col min="4" max="4" width="12.5703125" customWidth="1"/>
    <col min="5" max="5" width="12.140625" customWidth="1"/>
    <col min="6" max="6" width="41.28515625" customWidth="1"/>
    <col min="7" max="7" width="14.5703125" hidden="1" customWidth="1"/>
    <col min="8" max="8" width="10.140625" hidden="1" customWidth="1"/>
    <col min="9" max="10" width="10.140625" bestFit="1" customWidth="1"/>
    <col min="11" max="11" width="16.7109375" hidden="1" customWidth="1"/>
    <col min="12" max="12" width="25.42578125" hidden="1" customWidth="1"/>
    <col min="13" max="13" width="18.85546875" hidden="1" customWidth="1"/>
    <col min="14" max="15" width="19.140625" hidden="1" customWidth="1"/>
    <col min="16" max="16" width="18" hidden="1" customWidth="1"/>
    <col min="17" max="17" width="30.140625" hidden="1" customWidth="1"/>
    <col min="18" max="18" width="14.85546875" hidden="1" customWidth="1"/>
    <col min="19" max="19" width="16.5703125" hidden="1" customWidth="1"/>
    <col min="20" max="20" width="9.42578125" hidden="1" customWidth="1"/>
    <col min="21" max="21" width="14.28515625" style="39" hidden="1" customWidth="1"/>
  </cols>
  <sheetData>
    <row r="1" spans="1:21" ht="37.5">
      <c r="A1" s="434" t="s">
        <v>595</v>
      </c>
      <c r="B1" s="435" t="s">
        <v>272</v>
      </c>
      <c r="C1" s="435" t="s">
        <v>273</v>
      </c>
      <c r="D1" s="433" t="s">
        <v>274</v>
      </c>
      <c r="E1" s="435" t="s">
        <v>3048</v>
      </c>
      <c r="F1" s="436" t="s">
        <v>275</v>
      </c>
      <c r="G1" s="1244" t="s">
        <v>2</v>
      </c>
      <c r="H1" s="1245"/>
      <c r="I1" s="1245"/>
      <c r="J1" s="1246"/>
      <c r="K1" s="437" t="s">
        <v>2881</v>
      </c>
      <c r="L1" s="437" t="s">
        <v>2882</v>
      </c>
      <c r="M1" s="437" t="s">
        <v>2883</v>
      </c>
      <c r="N1" s="437" t="s">
        <v>2884</v>
      </c>
      <c r="O1" s="437" t="s">
        <v>2885</v>
      </c>
      <c r="P1" s="437" t="s">
        <v>2886</v>
      </c>
      <c r="Q1" s="1090" t="s">
        <v>4230</v>
      </c>
      <c r="R1" s="1119" t="s">
        <v>4700</v>
      </c>
      <c r="S1" s="1119" t="s">
        <v>4701</v>
      </c>
      <c r="T1" s="1119" t="s">
        <v>4702</v>
      </c>
      <c r="U1" s="1148" t="s">
        <v>2882</v>
      </c>
    </row>
    <row r="2" spans="1:21" ht="37.5">
      <c r="A2" s="434"/>
      <c r="B2" s="435"/>
      <c r="C2" s="435"/>
      <c r="D2" s="433"/>
      <c r="E2" s="435"/>
      <c r="F2" s="436"/>
      <c r="G2" s="433" t="s">
        <v>3</v>
      </c>
      <c r="H2" s="433" t="s">
        <v>4</v>
      </c>
      <c r="I2" s="433" t="s">
        <v>5</v>
      </c>
      <c r="J2" s="433" t="s">
        <v>6</v>
      </c>
      <c r="K2" s="437"/>
      <c r="L2" s="437"/>
      <c r="M2" s="437"/>
      <c r="N2" s="437"/>
      <c r="O2" s="437"/>
      <c r="P2" s="437"/>
      <c r="Q2" s="1090"/>
      <c r="R2" s="1119"/>
      <c r="S2" s="1119"/>
      <c r="T2" s="1119"/>
      <c r="U2" s="1148"/>
    </row>
    <row r="3" spans="1:21" ht="18.75" customHeight="1">
      <c r="A3" s="1247" t="s">
        <v>3049</v>
      </c>
      <c r="B3" s="1248"/>
      <c r="C3" s="1248"/>
      <c r="D3" s="1248"/>
      <c r="E3" s="1248"/>
      <c r="F3" s="1248"/>
      <c r="G3" s="1248"/>
      <c r="H3" s="1248"/>
      <c r="I3" s="1248"/>
      <c r="J3" s="1248"/>
      <c r="K3" s="1248"/>
      <c r="L3" s="1248"/>
      <c r="M3" s="1248"/>
      <c r="N3" s="1248"/>
      <c r="O3" s="1248"/>
      <c r="P3" s="1248"/>
      <c r="Q3" s="1248"/>
      <c r="R3" s="383"/>
      <c r="S3" s="383"/>
      <c r="T3" s="383"/>
      <c r="U3" s="911"/>
    </row>
    <row r="4" spans="1:21" ht="31.5">
      <c r="A4" s="65">
        <v>1</v>
      </c>
      <c r="B4" s="427" t="s">
        <v>610</v>
      </c>
      <c r="C4" s="427" t="s">
        <v>2196</v>
      </c>
      <c r="D4" s="9">
        <f t="shared" ref="D4:D37" si="0">G4+H4+I4+J4</f>
        <v>500</v>
      </c>
      <c r="E4" s="64" t="s">
        <v>692</v>
      </c>
      <c r="F4" s="65" t="s">
        <v>2197</v>
      </c>
      <c r="G4" s="8"/>
      <c r="H4" s="427">
        <v>500</v>
      </c>
      <c r="I4" s="427"/>
      <c r="J4" s="427"/>
      <c r="K4" s="217">
        <v>660000</v>
      </c>
      <c r="L4" s="189">
        <f>K4*D4</f>
        <v>330000000</v>
      </c>
      <c r="M4" s="189">
        <f>K4*G4</f>
        <v>0</v>
      </c>
      <c r="N4" s="189">
        <f>K4*H4</f>
        <v>330000000</v>
      </c>
      <c r="O4" s="189">
        <f>K4*I4</f>
        <v>0</v>
      </c>
      <c r="P4" s="189">
        <f>K4*J4</f>
        <v>0</v>
      </c>
      <c r="Q4" s="833" t="s">
        <v>4236</v>
      </c>
      <c r="R4" s="136"/>
      <c r="S4" s="136"/>
      <c r="T4" s="939">
        <f>D4-S4</f>
        <v>500</v>
      </c>
      <c r="U4" s="942"/>
    </row>
    <row r="5" spans="1:21" ht="31.5">
      <c r="A5" s="452">
        <v>2</v>
      </c>
      <c r="B5" s="427" t="s">
        <v>611</v>
      </c>
      <c r="C5" s="427" t="s">
        <v>612</v>
      </c>
      <c r="D5" s="9">
        <f t="shared" si="0"/>
        <v>5</v>
      </c>
      <c r="E5" s="64" t="s">
        <v>286</v>
      </c>
      <c r="F5" s="65" t="s">
        <v>2197</v>
      </c>
      <c r="G5" s="8"/>
      <c r="H5" s="427">
        <v>5</v>
      </c>
      <c r="I5" s="427"/>
      <c r="J5" s="427"/>
      <c r="K5" s="217">
        <v>7920000</v>
      </c>
      <c r="L5" s="189">
        <f t="shared" ref="L5:L37" si="1">K5*D5</f>
        <v>39600000</v>
      </c>
      <c r="M5" s="189">
        <f t="shared" ref="M5:M37" si="2">K5*G5</f>
        <v>0</v>
      </c>
      <c r="N5" s="189">
        <f t="shared" ref="N5:N37" si="3">K5*H5</f>
        <v>39600000</v>
      </c>
      <c r="O5" s="189">
        <f t="shared" ref="O5:O37" si="4">K5*I5</f>
        <v>0</v>
      </c>
      <c r="P5" s="189">
        <f t="shared" ref="P5:P37" si="5">K5*J5</f>
        <v>0</v>
      </c>
      <c r="Q5" s="833" t="s">
        <v>4236</v>
      </c>
      <c r="R5" s="136"/>
      <c r="S5" s="136"/>
      <c r="T5" s="939">
        <f t="shared" ref="T5:T68" si="6">D5-S5</f>
        <v>5</v>
      </c>
      <c r="U5" s="942"/>
    </row>
    <row r="6" spans="1:21" ht="31.5">
      <c r="A6" s="452">
        <v>3</v>
      </c>
      <c r="B6" s="64" t="s">
        <v>613</v>
      </c>
      <c r="C6" s="427" t="s">
        <v>614</v>
      </c>
      <c r="D6" s="9">
        <f t="shared" si="0"/>
        <v>1000</v>
      </c>
      <c r="E6" s="427" t="s">
        <v>693</v>
      </c>
      <c r="F6" s="65" t="s">
        <v>2197</v>
      </c>
      <c r="G6" s="65">
        <v>250</v>
      </c>
      <c r="H6" s="65">
        <v>250</v>
      </c>
      <c r="I6" s="65">
        <v>250</v>
      </c>
      <c r="J6" s="65">
        <v>250</v>
      </c>
      <c r="K6" s="217">
        <v>60500</v>
      </c>
      <c r="L6" s="189">
        <f t="shared" si="1"/>
        <v>60500000</v>
      </c>
      <c r="M6" s="189">
        <f t="shared" si="2"/>
        <v>15125000</v>
      </c>
      <c r="N6" s="189">
        <f t="shared" si="3"/>
        <v>15125000</v>
      </c>
      <c r="O6" s="189">
        <f t="shared" si="4"/>
        <v>15125000</v>
      </c>
      <c r="P6" s="189">
        <f t="shared" si="5"/>
        <v>15125000</v>
      </c>
      <c r="Q6" s="833" t="s">
        <v>4236</v>
      </c>
      <c r="R6" s="136"/>
      <c r="S6" s="136"/>
      <c r="T6" s="939">
        <f t="shared" si="6"/>
        <v>1000</v>
      </c>
      <c r="U6" s="942"/>
    </row>
    <row r="7" spans="1:21" ht="31.5">
      <c r="A7" s="452">
        <v>4</v>
      </c>
      <c r="B7" s="64" t="s">
        <v>613</v>
      </c>
      <c r="C7" s="427" t="s">
        <v>615</v>
      </c>
      <c r="D7" s="9">
        <f t="shared" si="0"/>
        <v>200</v>
      </c>
      <c r="E7" s="427" t="s">
        <v>693</v>
      </c>
      <c r="F7" s="65" t="s">
        <v>2197</v>
      </c>
      <c r="G7" s="65">
        <v>50</v>
      </c>
      <c r="H7" s="65">
        <v>50</v>
      </c>
      <c r="I7" s="65">
        <v>50</v>
      </c>
      <c r="J7" s="65">
        <v>50</v>
      </c>
      <c r="K7" s="217">
        <v>168300</v>
      </c>
      <c r="L7" s="189">
        <f t="shared" si="1"/>
        <v>33660000</v>
      </c>
      <c r="M7" s="189">
        <f t="shared" si="2"/>
        <v>8415000</v>
      </c>
      <c r="N7" s="189">
        <f t="shared" si="3"/>
        <v>8415000</v>
      </c>
      <c r="O7" s="189">
        <f t="shared" si="4"/>
        <v>8415000</v>
      </c>
      <c r="P7" s="189">
        <f t="shared" si="5"/>
        <v>8415000</v>
      </c>
      <c r="Q7" s="833" t="s">
        <v>4236</v>
      </c>
      <c r="R7" s="136"/>
      <c r="S7" s="136"/>
      <c r="T7" s="939">
        <f t="shared" si="6"/>
        <v>200</v>
      </c>
      <c r="U7" s="942"/>
    </row>
    <row r="8" spans="1:21" ht="31.5">
      <c r="A8" s="452">
        <v>5</v>
      </c>
      <c r="B8" s="65" t="s">
        <v>627</v>
      </c>
      <c r="C8" s="427" t="s">
        <v>628</v>
      </c>
      <c r="D8" s="9">
        <f t="shared" si="0"/>
        <v>800</v>
      </c>
      <c r="E8" s="427" t="s">
        <v>286</v>
      </c>
      <c r="F8" s="65" t="s">
        <v>2197</v>
      </c>
      <c r="G8" s="8"/>
      <c r="H8" s="427">
        <v>400</v>
      </c>
      <c r="I8" s="427">
        <v>400</v>
      </c>
      <c r="J8" s="427"/>
      <c r="K8" s="217">
        <v>115500</v>
      </c>
      <c r="L8" s="189">
        <f t="shared" si="1"/>
        <v>92400000</v>
      </c>
      <c r="M8" s="189">
        <f t="shared" si="2"/>
        <v>0</v>
      </c>
      <c r="N8" s="189">
        <f t="shared" si="3"/>
        <v>46200000</v>
      </c>
      <c r="O8" s="189">
        <f t="shared" si="4"/>
        <v>46200000</v>
      </c>
      <c r="P8" s="189">
        <f t="shared" si="5"/>
        <v>0</v>
      </c>
      <c r="Q8" s="833" t="s">
        <v>4236</v>
      </c>
      <c r="R8" s="136"/>
      <c r="S8" s="136"/>
      <c r="T8" s="939">
        <f t="shared" si="6"/>
        <v>800</v>
      </c>
      <c r="U8" s="942"/>
    </row>
    <row r="9" spans="1:21" ht="31.5">
      <c r="A9" s="452">
        <v>6</v>
      </c>
      <c r="B9" s="427" t="s">
        <v>687</v>
      </c>
      <c r="C9" s="427" t="s">
        <v>688</v>
      </c>
      <c r="D9" s="9">
        <f t="shared" si="0"/>
        <v>100</v>
      </c>
      <c r="E9" s="427" t="s">
        <v>286</v>
      </c>
      <c r="F9" s="65" t="s">
        <v>2197</v>
      </c>
      <c r="G9" s="8"/>
      <c r="H9" s="427"/>
      <c r="I9" s="427">
        <v>50</v>
      </c>
      <c r="J9" s="427">
        <v>50</v>
      </c>
      <c r="K9" s="217">
        <v>121000</v>
      </c>
      <c r="L9" s="189">
        <f t="shared" si="1"/>
        <v>12100000</v>
      </c>
      <c r="M9" s="189">
        <f t="shared" si="2"/>
        <v>0</v>
      </c>
      <c r="N9" s="189">
        <f t="shared" si="3"/>
        <v>0</v>
      </c>
      <c r="O9" s="189">
        <f t="shared" si="4"/>
        <v>6050000</v>
      </c>
      <c r="P9" s="189">
        <f t="shared" si="5"/>
        <v>6050000</v>
      </c>
      <c r="Q9" s="833" t="s">
        <v>4236</v>
      </c>
      <c r="R9" s="136"/>
      <c r="S9" s="136"/>
      <c r="T9" s="939">
        <f t="shared" si="6"/>
        <v>100</v>
      </c>
      <c r="U9" s="942"/>
    </row>
    <row r="10" spans="1:21" ht="31.5">
      <c r="A10" s="452">
        <v>7</v>
      </c>
      <c r="B10" s="427" t="s">
        <v>662</v>
      </c>
      <c r="C10" s="427" t="s">
        <v>663</v>
      </c>
      <c r="D10" s="9">
        <f t="shared" si="0"/>
        <v>400</v>
      </c>
      <c r="E10" s="427" t="s">
        <v>286</v>
      </c>
      <c r="F10" s="65" t="s">
        <v>2197</v>
      </c>
      <c r="G10" s="8">
        <v>200</v>
      </c>
      <c r="H10" s="427"/>
      <c r="I10" s="427">
        <v>200</v>
      </c>
      <c r="J10" s="427"/>
      <c r="K10" s="217">
        <v>16500</v>
      </c>
      <c r="L10" s="189">
        <f t="shared" si="1"/>
        <v>6600000</v>
      </c>
      <c r="M10" s="189">
        <f t="shared" si="2"/>
        <v>3300000</v>
      </c>
      <c r="N10" s="189">
        <f t="shared" si="3"/>
        <v>0</v>
      </c>
      <c r="O10" s="189">
        <f t="shared" si="4"/>
        <v>3300000</v>
      </c>
      <c r="P10" s="189">
        <f t="shared" si="5"/>
        <v>0</v>
      </c>
      <c r="Q10" s="833" t="s">
        <v>4236</v>
      </c>
      <c r="R10" s="136"/>
      <c r="S10" s="136"/>
      <c r="T10" s="939">
        <f t="shared" si="6"/>
        <v>400</v>
      </c>
      <c r="U10" s="942"/>
    </row>
    <row r="11" spans="1:21" ht="15.75">
      <c r="A11" s="452">
        <v>8</v>
      </c>
      <c r="B11" s="65" t="s">
        <v>2198</v>
      </c>
      <c r="C11" s="427" t="s">
        <v>630</v>
      </c>
      <c r="D11" s="9">
        <f t="shared" si="0"/>
        <v>4000</v>
      </c>
      <c r="E11" s="427" t="s">
        <v>286</v>
      </c>
      <c r="F11" s="65" t="s">
        <v>2197</v>
      </c>
      <c r="G11" s="8">
        <v>1000</v>
      </c>
      <c r="H11" s="427">
        <v>2000</v>
      </c>
      <c r="I11" s="427">
        <v>1000</v>
      </c>
      <c r="J11" s="427"/>
      <c r="K11" s="217">
        <v>2530</v>
      </c>
      <c r="L11" s="189">
        <f>K11*D11</f>
        <v>10120000</v>
      </c>
      <c r="M11" s="189">
        <f t="shared" si="2"/>
        <v>2530000</v>
      </c>
      <c r="N11" s="189">
        <f t="shared" si="3"/>
        <v>5060000</v>
      </c>
      <c r="O11" s="189">
        <f t="shared" si="4"/>
        <v>2530000</v>
      </c>
      <c r="P11" s="189">
        <f t="shared" si="5"/>
        <v>0</v>
      </c>
      <c r="Q11" s="887" t="s">
        <v>4227</v>
      </c>
      <c r="R11" s="136"/>
      <c r="S11" s="136"/>
      <c r="T11" s="939">
        <f t="shared" si="6"/>
        <v>4000</v>
      </c>
      <c r="U11" s="942"/>
    </row>
    <row r="12" spans="1:21" ht="15.75">
      <c r="A12" s="452">
        <v>9</v>
      </c>
      <c r="B12" s="65" t="s">
        <v>2199</v>
      </c>
      <c r="C12" s="427" t="s">
        <v>631</v>
      </c>
      <c r="D12" s="9">
        <f t="shared" si="0"/>
        <v>800</v>
      </c>
      <c r="E12" s="427" t="s">
        <v>286</v>
      </c>
      <c r="F12" s="65" t="s">
        <v>2197</v>
      </c>
      <c r="G12" s="8">
        <v>200</v>
      </c>
      <c r="H12" s="427">
        <v>200</v>
      </c>
      <c r="I12" s="427">
        <v>200</v>
      </c>
      <c r="J12" s="427">
        <v>200</v>
      </c>
      <c r="K12" s="217">
        <v>2750</v>
      </c>
      <c r="L12" s="189">
        <f t="shared" si="1"/>
        <v>2200000</v>
      </c>
      <c r="M12" s="189">
        <f t="shared" si="2"/>
        <v>550000</v>
      </c>
      <c r="N12" s="189">
        <f t="shared" si="3"/>
        <v>550000</v>
      </c>
      <c r="O12" s="189">
        <f t="shared" si="4"/>
        <v>550000</v>
      </c>
      <c r="P12" s="189">
        <f t="shared" si="5"/>
        <v>550000</v>
      </c>
      <c r="Q12" s="887" t="s">
        <v>4227</v>
      </c>
      <c r="R12" s="136"/>
      <c r="S12" s="136"/>
      <c r="T12" s="939">
        <f t="shared" si="6"/>
        <v>800</v>
      </c>
      <c r="U12" s="942"/>
    </row>
    <row r="13" spans="1:21" ht="15.75">
      <c r="A13" s="452">
        <v>10</v>
      </c>
      <c r="B13" s="65" t="s">
        <v>2200</v>
      </c>
      <c r="C13" s="427" t="s">
        <v>632</v>
      </c>
      <c r="D13" s="9">
        <f t="shared" si="0"/>
        <v>800</v>
      </c>
      <c r="E13" s="427" t="s">
        <v>286</v>
      </c>
      <c r="F13" s="65" t="s">
        <v>2197</v>
      </c>
      <c r="G13" s="8">
        <v>200</v>
      </c>
      <c r="H13" s="427">
        <v>200</v>
      </c>
      <c r="I13" s="427">
        <v>200</v>
      </c>
      <c r="J13" s="427">
        <v>200</v>
      </c>
      <c r="K13" s="217">
        <v>2970</v>
      </c>
      <c r="L13" s="189">
        <f t="shared" si="1"/>
        <v>2376000</v>
      </c>
      <c r="M13" s="189">
        <f t="shared" si="2"/>
        <v>594000</v>
      </c>
      <c r="N13" s="189">
        <f t="shared" si="3"/>
        <v>594000</v>
      </c>
      <c r="O13" s="189">
        <f t="shared" si="4"/>
        <v>594000</v>
      </c>
      <c r="P13" s="189">
        <f t="shared" si="5"/>
        <v>594000</v>
      </c>
      <c r="Q13" s="887" t="s">
        <v>4227</v>
      </c>
      <c r="R13" s="136"/>
      <c r="S13" s="136"/>
      <c r="T13" s="939">
        <f t="shared" si="6"/>
        <v>800</v>
      </c>
      <c r="U13" s="942"/>
    </row>
    <row r="14" spans="1:21" ht="15.75">
      <c r="A14" s="452">
        <v>11</v>
      </c>
      <c r="B14" s="65" t="s">
        <v>2201</v>
      </c>
      <c r="C14" s="427" t="s">
        <v>633</v>
      </c>
      <c r="D14" s="9">
        <f t="shared" si="0"/>
        <v>200</v>
      </c>
      <c r="E14" s="427" t="s">
        <v>286</v>
      </c>
      <c r="F14" s="65" t="s">
        <v>2197</v>
      </c>
      <c r="G14" s="8">
        <v>50</v>
      </c>
      <c r="H14" s="427">
        <v>50</v>
      </c>
      <c r="I14" s="427">
        <v>100</v>
      </c>
      <c r="J14" s="427"/>
      <c r="K14" s="217">
        <v>3190</v>
      </c>
      <c r="L14" s="189">
        <f t="shared" si="1"/>
        <v>638000</v>
      </c>
      <c r="M14" s="189">
        <f t="shared" si="2"/>
        <v>159500</v>
      </c>
      <c r="N14" s="189">
        <f t="shared" si="3"/>
        <v>159500</v>
      </c>
      <c r="O14" s="189">
        <f t="shared" si="4"/>
        <v>319000</v>
      </c>
      <c r="P14" s="189">
        <f t="shared" si="5"/>
        <v>0</v>
      </c>
      <c r="Q14" s="887" t="s">
        <v>4227</v>
      </c>
      <c r="R14" s="136"/>
      <c r="S14" s="136"/>
      <c r="T14" s="939">
        <f t="shared" si="6"/>
        <v>200</v>
      </c>
      <c r="U14" s="942"/>
    </row>
    <row r="15" spans="1:21" ht="15.75">
      <c r="A15" s="452">
        <v>12</v>
      </c>
      <c r="B15" s="65" t="s">
        <v>2201</v>
      </c>
      <c r="C15" s="427" t="s">
        <v>634</v>
      </c>
      <c r="D15" s="9">
        <f t="shared" si="0"/>
        <v>200</v>
      </c>
      <c r="E15" s="427" t="s">
        <v>286</v>
      </c>
      <c r="F15" s="65" t="s">
        <v>2197</v>
      </c>
      <c r="G15" s="8">
        <v>50</v>
      </c>
      <c r="H15" s="427">
        <v>100</v>
      </c>
      <c r="I15" s="427">
        <v>50</v>
      </c>
      <c r="J15" s="427"/>
      <c r="K15" s="217">
        <v>3300</v>
      </c>
      <c r="L15" s="189">
        <f t="shared" si="1"/>
        <v>660000</v>
      </c>
      <c r="M15" s="189">
        <f t="shared" si="2"/>
        <v>165000</v>
      </c>
      <c r="N15" s="189">
        <f t="shared" si="3"/>
        <v>330000</v>
      </c>
      <c r="O15" s="189">
        <f t="shared" si="4"/>
        <v>165000</v>
      </c>
      <c r="P15" s="189">
        <f t="shared" si="5"/>
        <v>0</v>
      </c>
      <c r="Q15" s="887" t="s">
        <v>4227</v>
      </c>
      <c r="R15" s="940"/>
      <c r="S15" s="136"/>
      <c r="T15" s="939">
        <f t="shared" si="6"/>
        <v>200</v>
      </c>
      <c r="U15" s="942"/>
    </row>
    <row r="16" spans="1:21" ht="15.75">
      <c r="A16" s="452">
        <v>13</v>
      </c>
      <c r="B16" s="427" t="s">
        <v>2202</v>
      </c>
      <c r="C16" s="427" t="s">
        <v>636</v>
      </c>
      <c r="D16" s="9">
        <f t="shared" si="0"/>
        <v>300</v>
      </c>
      <c r="E16" s="427" t="s">
        <v>286</v>
      </c>
      <c r="F16" s="65" t="s">
        <v>2197</v>
      </c>
      <c r="G16" s="8">
        <v>100</v>
      </c>
      <c r="H16" s="427">
        <v>50</v>
      </c>
      <c r="I16" s="427">
        <v>50</v>
      </c>
      <c r="J16" s="427">
        <v>100</v>
      </c>
      <c r="K16" s="217">
        <v>5280</v>
      </c>
      <c r="L16" s="189">
        <f t="shared" si="1"/>
        <v>1584000</v>
      </c>
      <c r="M16" s="189">
        <f t="shared" si="2"/>
        <v>528000</v>
      </c>
      <c r="N16" s="189">
        <f t="shared" si="3"/>
        <v>264000</v>
      </c>
      <c r="O16" s="189">
        <f t="shared" si="4"/>
        <v>264000</v>
      </c>
      <c r="P16" s="189">
        <f t="shared" si="5"/>
        <v>528000</v>
      </c>
      <c r="Q16" s="887" t="s">
        <v>4227</v>
      </c>
      <c r="R16" s="136"/>
      <c r="S16" s="136"/>
      <c r="T16" s="939">
        <f t="shared" si="6"/>
        <v>300</v>
      </c>
      <c r="U16" s="942"/>
    </row>
    <row r="17" spans="1:21" ht="31.5">
      <c r="A17" s="452">
        <v>14</v>
      </c>
      <c r="B17" s="427" t="s">
        <v>2203</v>
      </c>
      <c r="C17" s="427" t="s">
        <v>637</v>
      </c>
      <c r="D17" s="9">
        <f t="shared" si="0"/>
        <v>300</v>
      </c>
      <c r="E17" s="427" t="s">
        <v>286</v>
      </c>
      <c r="F17" s="65" t="s">
        <v>2197</v>
      </c>
      <c r="G17" s="8">
        <v>50</v>
      </c>
      <c r="H17" s="427">
        <v>150</v>
      </c>
      <c r="I17" s="427">
        <v>100</v>
      </c>
      <c r="J17" s="427"/>
      <c r="K17" s="217">
        <v>1320</v>
      </c>
      <c r="L17" s="189">
        <f t="shared" si="1"/>
        <v>396000</v>
      </c>
      <c r="M17" s="189">
        <f t="shared" si="2"/>
        <v>66000</v>
      </c>
      <c r="N17" s="189">
        <f t="shared" si="3"/>
        <v>198000</v>
      </c>
      <c r="O17" s="189">
        <f t="shared" si="4"/>
        <v>132000</v>
      </c>
      <c r="P17" s="189">
        <f t="shared" si="5"/>
        <v>0</v>
      </c>
      <c r="Q17" s="833" t="s">
        <v>4236</v>
      </c>
      <c r="R17" s="136"/>
      <c r="S17" s="136"/>
      <c r="T17" s="939">
        <f t="shared" si="6"/>
        <v>300</v>
      </c>
      <c r="U17" s="942"/>
    </row>
    <row r="18" spans="1:21" ht="15.75">
      <c r="A18" s="452">
        <v>15</v>
      </c>
      <c r="B18" s="427" t="s">
        <v>635</v>
      </c>
      <c r="C18" s="427" t="s">
        <v>638</v>
      </c>
      <c r="D18" s="9">
        <f t="shared" si="0"/>
        <v>800</v>
      </c>
      <c r="E18" s="427" t="s">
        <v>286</v>
      </c>
      <c r="F18" s="65" t="s">
        <v>2197</v>
      </c>
      <c r="G18" s="8">
        <v>200</v>
      </c>
      <c r="H18" s="427">
        <v>200</v>
      </c>
      <c r="I18" s="427">
        <v>200</v>
      </c>
      <c r="J18" s="427">
        <v>200</v>
      </c>
      <c r="K18" s="217">
        <v>5170</v>
      </c>
      <c r="L18" s="189">
        <f t="shared" si="1"/>
        <v>4136000</v>
      </c>
      <c r="M18" s="189">
        <f t="shared" si="2"/>
        <v>1034000</v>
      </c>
      <c r="N18" s="189">
        <f t="shared" si="3"/>
        <v>1034000</v>
      </c>
      <c r="O18" s="189">
        <f t="shared" si="4"/>
        <v>1034000</v>
      </c>
      <c r="P18" s="189">
        <f t="shared" si="5"/>
        <v>1034000</v>
      </c>
      <c r="Q18" s="887" t="s">
        <v>4227</v>
      </c>
      <c r="R18" s="136"/>
      <c r="S18" s="136"/>
      <c r="T18" s="939">
        <f t="shared" si="6"/>
        <v>800</v>
      </c>
      <c r="U18" s="942"/>
    </row>
    <row r="19" spans="1:21" ht="31.5">
      <c r="A19" s="452">
        <v>16</v>
      </c>
      <c r="B19" s="65" t="s">
        <v>629</v>
      </c>
      <c r="C19" s="427" t="s">
        <v>639</v>
      </c>
      <c r="D19" s="9">
        <f t="shared" si="0"/>
        <v>200</v>
      </c>
      <c r="E19" s="427" t="s">
        <v>286</v>
      </c>
      <c r="F19" s="65" t="s">
        <v>2197</v>
      </c>
      <c r="G19" s="8">
        <v>50</v>
      </c>
      <c r="H19" s="427">
        <v>50</v>
      </c>
      <c r="I19" s="427">
        <v>50</v>
      </c>
      <c r="J19" s="427">
        <v>50</v>
      </c>
      <c r="K19" s="217">
        <v>49500</v>
      </c>
      <c r="L19" s="189">
        <f t="shared" si="1"/>
        <v>9900000</v>
      </c>
      <c r="M19" s="189">
        <f t="shared" si="2"/>
        <v>2475000</v>
      </c>
      <c r="N19" s="189">
        <f t="shared" si="3"/>
        <v>2475000</v>
      </c>
      <c r="O19" s="189">
        <f t="shared" si="4"/>
        <v>2475000</v>
      </c>
      <c r="P19" s="189">
        <f t="shared" si="5"/>
        <v>2475000</v>
      </c>
      <c r="Q19" s="833" t="s">
        <v>4236</v>
      </c>
      <c r="R19" s="940"/>
      <c r="S19" s="136"/>
      <c r="T19" s="939">
        <f t="shared" si="6"/>
        <v>200</v>
      </c>
      <c r="U19" s="942"/>
    </row>
    <row r="20" spans="1:21" ht="31.5">
      <c r="A20" s="452">
        <v>17</v>
      </c>
      <c r="B20" s="65" t="s">
        <v>640</v>
      </c>
      <c r="C20" s="427" t="s">
        <v>641</v>
      </c>
      <c r="D20" s="9">
        <f t="shared" si="0"/>
        <v>100</v>
      </c>
      <c r="E20" s="427" t="s">
        <v>286</v>
      </c>
      <c r="F20" s="65" t="s">
        <v>2197</v>
      </c>
      <c r="G20" s="8">
        <v>50</v>
      </c>
      <c r="H20" s="427"/>
      <c r="I20" s="427">
        <v>50</v>
      </c>
      <c r="J20" s="427"/>
      <c r="K20" s="217">
        <v>12650</v>
      </c>
      <c r="L20" s="189">
        <f t="shared" si="1"/>
        <v>1265000</v>
      </c>
      <c r="M20" s="189">
        <f t="shared" si="2"/>
        <v>632500</v>
      </c>
      <c r="N20" s="189">
        <f t="shared" si="3"/>
        <v>0</v>
      </c>
      <c r="O20" s="189">
        <f t="shared" si="4"/>
        <v>632500</v>
      </c>
      <c r="P20" s="189">
        <f t="shared" si="5"/>
        <v>0</v>
      </c>
      <c r="Q20" s="833" t="s">
        <v>4236</v>
      </c>
      <c r="R20" s="940"/>
      <c r="S20" s="940"/>
      <c r="T20" s="941">
        <f t="shared" si="6"/>
        <v>100</v>
      </c>
      <c r="U20" s="943"/>
    </row>
    <row r="21" spans="1:21" ht="31.5">
      <c r="A21" s="452">
        <v>18</v>
      </c>
      <c r="B21" s="65" t="s">
        <v>642</v>
      </c>
      <c r="C21" s="427" t="s">
        <v>643</v>
      </c>
      <c r="D21" s="9">
        <f t="shared" si="0"/>
        <v>8000</v>
      </c>
      <c r="E21" s="427" t="s">
        <v>286</v>
      </c>
      <c r="F21" s="65" t="s">
        <v>2197</v>
      </c>
      <c r="G21" s="8">
        <v>2000</v>
      </c>
      <c r="H21" s="427">
        <v>2000</v>
      </c>
      <c r="I21" s="427">
        <v>4000</v>
      </c>
      <c r="J21" s="427"/>
      <c r="K21" s="217">
        <v>16500</v>
      </c>
      <c r="L21" s="189">
        <f>K21*D21</f>
        <v>132000000</v>
      </c>
      <c r="M21" s="189">
        <f t="shared" si="2"/>
        <v>33000000</v>
      </c>
      <c r="N21" s="189">
        <f t="shared" si="3"/>
        <v>33000000</v>
      </c>
      <c r="O21" s="189">
        <f t="shared" si="4"/>
        <v>66000000</v>
      </c>
      <c r="P21" s="189">
        <f t="shared" si="5"/>
        <v>0</v>
      </c>
      <c r="Q21" s="833" t="s">
        <v>4236</v>
      </c>
      <c r="R21" s="940"/>
      <c r="S21" s="940"/>
      <c r="T21" s="941">
        <f t="shared" si="6"/>
        <v>8000</v>
      </c>
      <c r="U21" s="943"/>
    </row>
    <row r="22" spans="1:21" ht="31.5">
      <c r="A22" s="452">
        <v>19</v>
      </c>
      <c r="B22" s="65" t="s">
        <v>644</v>
      </c>
      <c r="C22" s="427" t="s">
        <v>645</v>
      </c>
      <c r="D22" s="9">
        <f t="shared" si="0"/>
        <v>60</v>
      </c>
      <c r="E22" s="427" t="s">
        <v>693</v>
      </c>
      <c r="F22" s="65" t="s">
        <v>2197</v>
      </c>
      <c r="G22" s="8">
        <v>30</v>
      </c>
      <c r="H22" s="427"/>
      <c r="I22" s="427">
        <v>30</v>
      </c>
      <c r="J22" s="427"/>
      <c r="K22" s="217">
        <v>60000</v>
      </c>
      <c r="L22" s="189">
        <f t="shared" si="1"/>
        <v>3600000</v>
      </c>
      <c r="M22" s="189">
        <f t="shared" si="2"/>
        <v>1800000</v>
      </c>
      <c r="N22" s="189">
        <f t="shared" si="3"/>
        <v>0</v>
      </c>
      <c r="O22" s="189">
        <f t="shared" si="4"/>
        <v>1800000</v>
      </c>
      <c r="P22" s="189">
        <f t="shared" si="5"/>
        <v>0</v>
      </c>
      <c r="Q22" s="833" t="s">
        <v>4236</v>
      </c>
      <c r="R22" s="940"/>
      <c r="S22" s="940"/>
      <c r="T22" s="941">
        <f t="shared" si="6"/>
        <v>60</v>
      </c>
      <c r="U22" s="943"/>
    </row>
    <row r="23" spans="1:21" ht="15.75">
      <c r="A23" s="452">
        <v>20</v>
      </c>
      <c r="B23" s="427" t="s">
        <v>646</v>
      </c>
      <c r="C23" s="427" t="s">
        <v>646</v>
      </c>
      <c r="D23" s="9">
        <f t="shared" si="0"/>
        <v>800</v>
      </c>
      <c r="E23" s="427" t="s">
        <v>286</v>
      </c>
      <c r="F23" s="65" t="s">
        <v>2197</v>
      </c>
      <c r="G23" s="8">
        <v>100</v>
      </c>
      <c r="H23" s="427">
        <v>300</v>
      </c>
      <c r="I23" s="427">
        <v>200</v>
      </c>
      <c r="J23" s="427">
        <v>200</v>
      </c>
      <c r="K23" s="217">
        <v>1650</v>
      </c>
      <c r="L23" s="189">
        <f t="shared" si="1"/>
        <v>1320000</v>
      </c>
      <c r="M23" s="189">
        <f t="shared" si="2"/>
        <v>165000</v>
      </c>
      <c r="N23" s="189">
        <f t="shared" si="3"/>
        <v>495000</v>
      </c>
      <c r="O23" s="189">
        <f t="shared" si="4"/>
        <v>330000</v>
      </c>
      <c r="P23" s="189">
        <f t="shared" si="5"/>
        <v>330000</v>
      </c>
      <c r="Q23" s="887" t="s">
        <v>4227</v>
      </c>
      <c r="R23" s="940"/>
      <c r="S23" s="940"/>
      <c r="T23" s="941">
        <f t="shared" si="6"/>
        <v>800</v>
      </c>
      <c r="U23" s="943"/>
    </row>
    <row r="24" spans="1:21" ht="31.5">
      <c r="A24" s="452">
        <v>21</v>
      </c>
      <c r="B24" s="427" t="s">
        <v>647</v>
      </c>
      <c r="C24" s="427" t="s">
        <v>648</v>
      </c>
      <c r="D24" s="9">
        <f t="shared" si="0"/>
        <v>400</v>
      </c>
      <c r="E24" s="427" t="s">
        <v>286</v>
      </c>
      <c r="F24" s="65" t="s">
        <v>2197</v>
      </c>
      <c r="G24" s="8">
        <v>100</v>
      </c>
      <c r="H24" s="427">
        <v>200</v>
      </c>
      <c r="I24" s="427">
        <v>100</v>
      </c>
      <c r="J24" s="427"/>
      <c r="K24" s="217">
        <v>17600</v>
      </c>
      <c r="L24" s="189">
        <f t="shared" si="1"/>
        <v>7040000</v>
      </c>
      <c r="M24" s="189">
        <f t="shared" si="2"/>
        <v>1760000</v>
      </c>
      <c r="N24" s="189">
        <f t="shared" si="3"/>
        <v>3520000</v>
      </c>
      <c r="O24" s="189">
        <f t="shared" si="4"/>
        <v>1760000</v>
      </c>
      <c r="P24" s="189">
        <f t="shared" si="5"/>
        <v>0</v>
      </c>
      <c r="Q24" s="833" t="s">
        <v>4236</v>
      </c>
      <c r="R24" s="940"/>
      <c r="S24" s="940"/>
      <c r="T24" s="941">
        <f t="shared" si="6"/>
        <v>400</v>
      </c>
      <c r="U24" s="943"/>
    </row>
    <row r="25" spans="1:21" ht="31.5">
      <c r="A25" s="452">
        <v>22</v>
      </c>
      <c r="B25" s="427" t="s">
        <v>649</v>
      </c>
      <c r="C25" s="427" t="s">
        <v>650</v>
      </c>
      <c r="D25" s="9">
        <f t="shared" si="0"/>
        <v>200</v>
      </c>
      <c r="E25" s="427" t="s">
        <v>693</v>
      </c>
      <c r="F25" s="65" t="s">
        <v>2197</v>
      </c>
      <c r="G25" s="8">
        <v>50</v>
      </c>
      <c r="H25" s="427">
        <v>100</v>
      </c>
      <c r="I25" s="427"/>
      <c r="J25" s="427">
        <v>50</v>
      </c>
      <c r="K25" s="217">
        <v>33000</v>
      </c>
      <c r="L25" s="189">
        <f t="shared" si="1"/>
        <v>6600000</v>
      </c>
      <c r="M25" s="189">
        <f t="shared" si="2"/>
        <v>1650000</v>
      </c>
      <c r="N25" s="189">
        <f t="shared" si="3"/>
        <v>3300000</v>
      </c>
      <c r="O25" s="189">
        <f t="shared" si="4"/>
        <v>0</v>
      </c>
      <c r="P25" s="189">
        <f t="shared" si="5"/>
        <v>1650000</v>
      </c>
      <c r="Q25" s="833" t="s">
        <v>4236</v>
      </c>
      <c r="R25" s="940"/>
      <c r="S25" s="940"/>
      <c r="T25" s="941">
        <f t="shared" si="6"/>
        <v>200</v>
      </c>
      <c r="U25" s="943"/>
    </row>
    <row r="26" spans="1:21" ht="31.5">
      <c r="A26" s="452">
        <v>23</v>
      </c>
      <c r="B26" s="65" t="s">
        <v>651</v>
      </c>
      <c r="C26" s="427" t="s">
        <v>652</v>
      </c>
      <c r="D26" s="9">
        <f t="shared" si="0"/>
        <v>400</v>
      </c>
      <c r="E26" s="427" t="s">
        <v>693</v>
      </c>
      <c r="F26" s="65" t="s">
        <v>2197</v>
      </c>
      <c r="G26" s="8"/>
      <c r="H26" s="427">
        <v>200</v>
      </c>
      <c r="I26" s="427"/>
      <c r="J26" s="427">
        <v>200</v>
      </c>
      <c r="K26" s="217">
        <v>4400</v>
      </c>
      <c r="L26" s="189">
        <f t="shared" si="1"/>
        <v>1760000</v>
      </c>
      <c r="M26" s="189">
        <f t="shared" si="2"/>
        <v>0</v>
      </c>
      <c r="N26" s="189">
        <f t="shared" si="3"/>
        <v>880000</v>
      </c>
      <c r="O26" s="189">
        <f t="shared" si="4"/>
        <v>0</v>
      </c>
      <c r="P26" s="189">
        <f t="shared" si="5"/>
        <v>880000</v>
      </c>
      <c r="Q26" s="833" t="s">
        <v>4236</v>
      </c>
      <c r="R26" s="940"/>
      <c r="S26" s="940"/>
      <c r="T26" s="941">
        <f t="shared" si="6"/>
        <v>400</v>
      </c>
      <c r="U26" s="943"/>
    </row>
    <row r="27" spans="1:21" ht="31.5">
      <c r="A27" s="452">
        <v>24</v>
      </c>
      <c r="B27" s="65" t="s">
        <v>651</v>
      </c>
      <c r="C27" s="427" t="s">
        <v>653</v>
      </c>
      <c r="D27" s="9">
        <f t="shared" si="0"/>
        <v>400</v>
      </c>
      <c r="E27" s="427" t="s">
        <v>693</v>
      </c>
      <c r="F27" s="65" t="s">
        <v>2197</v>
      </c>
      <c r="G27" s="8">
        <v>200</v>
      </c>
      <c r="H27" s="427"/>
      <c r="I27" s="427">
        <v>200</v>
      </c>
      <c r="J27" s="427"/>
      <c r="K27" s="217">
        <v>4620</v>
      </c>
      <c r="L27" s="189">
        <f t="shared" si="1"/>
        <v>1848000</v>
      </c>
      <c r="M27" s="189">
        <f t="shared" si="2"/>
        <v>924000</v>
      </c>
      <c r="N27" s="189">
        <f t="shared" si="3"/>
        <v>0</v>
      </c>
      <c r="O27" s="189">
        <f t="shared" si="4"/>
        <v>924000</v>
      </c>
      <c r="P27" s="189">
        <f t="shared" si="5"/>
        <v>0</v>
      </c>
      <c r="Q27" s="833" t="s">
        <v>4236</v>
      </c>
      <c r="R27" s="940"/>
      <c r="S27" s="940"/>
      <c r="T27" s="941">
        <f t="shared" si="6"/>
        <v>400</v>
      </c>
      <c r="U27" s="943"/>
    </row>
    <row r="28" spans="1:21" ht="31.5">
      <c r="A28" s="452">
        <v>25</v>
      </c>
      <c r="B28" s="427" t="s">
        <v>654</v>
      </c>
      <c r="C28" s="427" t="s">
        <v>654</v>
      </c>
      <c r="D28" s="9">
        <f t="shared" si="0"/>
        <v>100</v>
      </c>
      <c r="E28" s="427" t="s">
        <v>286</v>
      </c>
      <c r="F28" s="65" t="s">
        <v>2197</v>
      </c>
      <c r="G28" s="8">
        <v>50</v>
      </c>
      <c r="H28" s="427"/>
      <c r="I28" s="427">
        <v>50</v>
      </c>
      <c r="J28" s="427"/>
      <c r="K28" s="217">
        <v>33000</v>
      </c>
      <c r="L28" s="189">
        <f t="shared" si="1"/>
        <v>3300000</v>
      </c>
      <c r="M28" s="189">
        <f t="shared" si="2"/>
        <v>1650000</v>
      </c>
      <c r="N28" s="189">
        <f t="shared" si="3"/>
        <v>0</v>
      </c>
      <c r="O28" s="189">
        <f t="shared" si="4"/>
        <v>1650000</v>
      </c>
      <c r="P28" s="189">
        <f t="shared" si="5"/>
        <v>0</v>
      </c>
      <c r="Q28" s="833" t="s">
        <v>4236</v>
      </c>
      <c r="R28" s="940"/>
      <c r="S28" s="940"/>
      <c r="T28" s="941">
        <f t="shared" si="6"/>
        <v>100</v>
      </c>
      <c r="U28" s="943"/>
    </row>
    <row r="29" spans="1:21" ht="31.5">
      <c r="A29" s="452">
        <v>26</v>
      </c>
      <c r="B29" s="427" t="s">
        <v>654</v>
      </c>
      <c r="C29" s="427" t="s">
        <v>655</v>
      </c>
      <c r="D29" s="9">
        <f t="shared" si="0"/>
        <v>100</v>
      </c>
      <c r="E29" s="427" t="s">
        <v>286</v>
      </c>
      <c r="F29" s="65" t="s">
        <v>2197</v>
      </c>
      <c r="G29" s="8">
        <v>50</v>
      </c>
      <c r="H29" s="427"/>
      <c r="I29" s="427">
        <v>50</v>
      </c>
      <c r="J29" s="427"/>
      <c r="K29" s="217">
        <v>132000</v>
      </c>
      <c r="L29" s="189">
        <f t="shared" si="1"/>
        <v>13200000</v>
      </c>
      <c r="M29" s="189">
        <f t="shared" si="2"/>
        <v>6600000</v>
      </c>
      <c r="N29" s="189">
        <f t="shared" si="3"/>
        <v>0</v>
      </c>
      <c r="O29" s="189">
        <f t="shared" si="4"/>
        <v>6600000</v>
      </c>
      <c r="P29" s="189">
        <f t="shared" si="5"/>
        <v>0</v>
      </c>
      <c r="Q29" s="833" t="s">
        <v>4236</v>
      </c>
      <c r="R29" s="940"/>
      <c r="S29" s="940"/>
      <c r="T29" s="941">
        <f t="shared" si="6"/>
        <v>100</v>
      </c>
      <c r="U29" s="943"/>
    </row>
    <row r="30" spans="1:21" ht="31.5">
      <c r="A30" s="452">
        <v>27</v>
      </c>
      <c r="B30" s="65" t="s">
        <v>656</v>
      </c>
      <c r="C30" s="427" t="s">
        <v>657</v>
      </c>
      <c r="D30" s="9">
        <f t="shared" si="0"/>
        <v>100</v>
      </c>
      <c r="E30" s="427" t="s">
        <v>286</v>
      </c>
      <c r="F30" s="65" t="s">
        <v>2197</v>
      </c>
      <c r="G30" s="8">
        <v>50</v>
      </c>
      <c r="H30" s="427"/>
      <c r="I30" s="427">
        <v>50</v>
      </c>
      <c r="J30" s="427"/>
      <c r="K30" s="217">
        <v>55000</v>
      </c>
      <c r="L30" s="189">
        <f t="shared" si="1"/>
        <v>5500000</v>
      </c>
      <c r="M30" s="189">
        <f t="shared" si="2"/>
        <v>2750000</v>
      </c>
      <c r="N30" s="189">
        <f t="shared" si="3"/>
        <v>0</v>
      </c>
      <c r="O30" s="189">
        <f t="shared" si="4"/>
        <v>2750000</v>
      </c>
      <c r="P30" s="189">
        <f t="shared" si="5"/>
        <v>0</v>
      </c>
      <c r="Q30" s="833" t="s">
        <v>4236</v>
      </c>
      <c r="R30" s="940"/>
      <c r="S30" s="940"/>
      <c r="T30" s="941">
        <f t="shared" si="6"/>
        <v>100</v>
      </c>
      <c r="U30" s="943"/>
    </row>
    <row r="31" spans="1:21" ht="31.5">
      <c r="A31" s="452">
        <v>28</v>
      </c>
      <c r="B31" s="65" t="s">
        <v>658</v>
      </c>
      <c r="C31" s="427" t="s">
        <v>659</v>
      </c>
      <c r="D31" s="9">
        <f t="shared" si="0"/>
        <v>100</v>
      </c>
      <c r="E31" s="427" t="s">
        <v>286</v>
      </c>
      <c r="F31" s="65" t="s">
        <v>2197</v>
      </c>
      <c r="G31" s="8">
        <v>50</v>
      </c>
      <c r="H31" s="427">
        <v>50</v>
      </c>
      <c r="I31" s="427"/>
      <c r="J31" s="427"/>
      <c r="K31" s="217">
        <v>77000</v>
      </c>
      <c r="L31" s="189">
        <f t="shared" si="1"/>
        <v>7700000</v>
      </c>
      <c r="M31" s="189">
        <f t="shared" si="2"/>
        <v>3850000</v>
      </c>
      <c r="N31" s="189">
        <f t="shared" si="3"/>
        <v>3850000</v>
      </c>
      <c r="O31" s="189">
        <f t="shared" si="4"/>
        <v>0</v>
      </c>
      <c r="P31" s="189">
        <f t="shared" si="5"/>
        <v>0</v>
      </c>
      <c r="Q31" s="833" t="s">
        <v>4236</v>
      </c>
      <c r="R31" s="940"/>
      <c r="S31" s="940"/>
      <c r="T31" s="941">
        <f t="shared" si="6"/>
        <v>100</v>
      </c>
      <c r="U31" s="943"/>
    </row>
    <row r="32" spans="1:21" ht="31.5">
      <c r="A32" s="452">
        <v>29</v>
      </c>
      <c r="B32" s="427" t="s">
        <v>660</v>
      </c>
      <c r="C32" s="427" t="s">
        <v>661</v>
      </c>
      <c r="D32" s="9">
        <f t="shared" si="0"/>
        <v>250</v>
      </c>
      <c r="E32" s="427" t="s">
        <v>286</v>
      </c>
      <c r="F32" s="65" t="s">
        <v>2197</v>
      </c>
      <c r="G32" s="8">
        <v>100</v>
      </c>
      <c r="H32" s="427">
        <v>50</v>
      </c>
      <c r="I32" s="427">
        <v>50</v>
      </c>
      <c r="J32" s="427">
        <v>50</v>
      </c>
      <c r="K32" s="217">
        <v>7700</v>
      </c>
      <c r="L32" s="189">
        <f t="shared" si="1"/>
        <v>1925000</v>
      </c>
      <c r="M32" s="189">
        <f t="shared" si="2"/>
        <v>770000</v>
      </c>
      <c r="N32" s="189">
        <f t="shared" si="3"/>
        <v>385000</v>
      </c>
      <c r="O32" s="189">
        <f t="shared" si="4"/>
        <v>385000</v>
      </c>
      <c r="P32" s="189">
        <f t="shared" si="5"/>
        <v>385000</v>
      </c>
      <c r="Q32" s="833" t="s">
        <v>4236</v>
      </c>
      <c r="R32" s="940"/>
      <c r="S32" s="940"/>
      <c r="T32" s="941">
        <f t="shared" si="6"/>
        <v>250</v>
      </c>
      <c r="U32" s="943"/>
    </row>
    <row r="33" spans="1:21" ht="31.5">
      <c r="A33" s="452">
        <v>30</v>
      </c>
      <c r="B33" s="67" t="s">
        <v>2204</v>
      </c>
      <c r="C33" s="67" t="s">
        <v>2205</v>
      </c>
      <c r="D33" s="9">
        <f t="shared" si="0"/>
        <v>100</v>
      </c>
      <c r="E33" s="65" t="s">
        <v>286</v>
      </c>
      <c r="F33" s="65" t="s">
        <v>2197</v>
      </c>
      <c r="G33" s="65"/>
      <c r="H33" s="65">
        <v>50</v>
      </c>
      <c r="I33" s="65">
        <v>50</v>
      </c>
      <c r="J33" s="65"/>
      <c r="K33" s="217">
        <v>12100</v>
      </c>
      <c r="L33" s="189">
        <f t="shared" si="1"/>
        <v>1210000</v>
      </c>
      <c r="M33" s="189">
        <f t="shared" si="2"/>
        <v>0</v>
      </c>
      <c r="N33" s="189">
        <f t="shared" si="3"/>
        <v>605000</v>
      </c>
      <c r="O33" s="189">
        <f t="shared" si="4"/>
        <v>605000</v>
      </c>
      <c r="P33" s="189">
        <f t="shared" si="5"/>
        <v>0</v>
      </c>
      <c r="Q33" s="833" t="s">
        <v>4236</v>
      </c>
      <c r="R33" s="940"/>
      <c r="S33" s="940"/>
      <c r="T33" s="941">
        <f t="shared" si="6"/>
        <v>100</v>
      </c>
      <c r="U33" s="943"/>
    </row>
    <row r="34" spans="1:21" ht="31.5">
      <c r="A34" s="452">
        <v>31</v>
      </c>
      <c r="B34" s="67" t="s">
        <v>2206</v>
      </c>
      <c r="C34" s="67" t="s">
        <v>2207</v>
      </c>
      <c r="D34" s="9">
        <f t="shared" si="0"/>
        <v>100</v>
      </c>
      <c r="E34" s="65" t="s">
        <v>286</v>
      </c>
      <c r="F34" s="65" t="s">
        <v>2197</v>
      </c>
      <c r="G34" s="65"/>
      <c r="H34" s="65">
        <v>50</v>
      </c>
      <c r="I34" s="65">
        <v>50</v>
      </c>
      <c r="J34" s="65"/>
      <c r="K34" s="217">
        <v>8800</v>
      </c>
      <c r="L34" s="189">
        <f t="shared" si="1"/>
        <v>880000</v>
      </c>
      <c r="M34" s="189">
        <f t="shared" si="2"/>
        <v>0</v>
      </c>
      <c r="N34" s="189">
        <f t="shared" si="3"/>
        <v>440000</v>
      </c>
      <c r="O34" s="189">
        <f t="shared" si="4"/>
        <v>440000</v>
      </c>
      <c r="P34" s="189">
        <f t="shared" si="5"/>
        <v>0</v>
      </c>
      <c r="Q34" s="833" t="s">
        <v>4236</v>
      </c>
      <c r="R34" s="940"/>
      <c r="S34" s="940"/>
      <c r="T34" s="941">
        <f t="shared" si="6"/>
        <v>100</v>
      </c>
      <c r="U34" s="943"/>
    </row>
    <row r="35" spans="1:21" ht="31.5">
      <c r="A35" s="452">
        <v>32</v>
      </c>
      <c r="B35" s="108" t="s">
        <v>2208</v>
      </c>
      <c r="C35" s="65"/>
      <c r="D35" s="9">
        <f t="shared" si="0"/>
        <v>100</v>
      </c>
      <c r="E35" s="65" t="s">
        <v>286</v>
      </c>
      <c r="F35" s="65" t="s">
        <v>2197</v>
      </c>
      <c r="G35" s="8">
        <v>50</v>
      </c>
      <c r="H35" s="427">
        <v>50</v>
      </c>
      <c r="I35" s="427"/>
      <c r="J35" s="427"/>
      <c r="K35" s="217">
        <v>7700</v>
      </c>
      <c r="L35" s="189">
        <f t="shared" si="1"/>
        <v>770000</v>
      </c>
      <c r="M35" s="189">
        <f t="shared" si="2"/>
        <v>385000</v>
      </c>
      <c r="N35" s="189">
        <f t="shared" si="3"/>
        <v>385000</v>
      </c>
      <c r="O35" s="189">
        <f t="shared" si="4"/>
        <v>0</v>
      </c>
      <c r="P35" s="189">
        <f t="shared" si="5"/>
        <v>0</v>
      </c>
      <c r="Q35" s="833" t="s">
        <v>4236</v>
      </c>
      <c r="R35" s="940"/>
      <c r="S35" s="940"/>
      <c r="T35" s="941">
        <f t="shared" si="6"/>
        <v>100</v>
      </c>
      <c r="U35" s="943"/>
    </row>
    <row r="36" spans="1:21" ht="31.5">
      <c r="A36" s="452">
        <v>33</v>
      </c>
      <c r="B36" s="67" t="s">
        <v>2209</v>
      </c>
      <c r="C36" s="67" t="s">
        <v>2210</v>
      </c>
      <c r="D36" s="9">
        <f t="shared" si="0"/>
        <v>100</v>
      </c>
      <c r="E36" s="65" t="s">
        <v>286</v>
      </c>
      <c r="F36" s="65" t="s">
        <v>2197</v>
      </c>
      <c r="G36" s="65">
        <v>100</v>
      </c>
      <c r="H36" s="65"/>
      <c r="I36" s="65"/>
      <c r="J36" s="65"/>
      <c r="K36" s="217">
        <v>60500</v>
      </c>
      <c r="L36" s="189">
        <f t="shared" si="1"/>
        <v>6050000</v>
      </c>
      <c r="M36" s="189">
        <f t="shared" si="2"/>
        <v>6050000</v>
      </c>
      <c r="N36" s="189">
        <f t="shared" si="3"/>
        <v>0</v>
      </c>
      <c r="O36" s="189">
        <f t="shared" si="4"/>
        <v>0</v>
      </c>
      <c r="P36" s="189">
        <f t="shared" si="5"/>
        <v>0</v>
      </c>
      <c r="Q36" s="833" t="s">
        <v>4236</v>
      </c>
      <c r="R36" s="940"/>
      <c r="S36" s="940"/>
      <c r="T36" s="941">
        <f t="shared" si="6"/>
        <v>100</v>
      </c>
      <c r="U36" s="943"/>
    </row>
    <row r="37" spans="1:21" ht="31.5">
      <c r="A37" s="452">
        <v>34</v>
      </c>
      <c r="B37" s="108" t="s">
        <v>673</v>
      </c>
      <c r="C37" s="65"/>
      <c r="D37" s="9">
        <f t="shared" si="0"/>
        <v>100</v>
      </c>
      <c r="E37" s="65" t="s">
        <v>286</v>
      </c>
      <c r="F37" s="65" t="s">
        <v>2197</v>
      </c>
      <c r="G37" s="8">
        <v>50</v>
      </c>
      <c r="H37" s="427">
        <v>50</v>
      </c>
      <c r="I37" s="427"/>
      <c r="J37" s="427"/>
      <c r="K37" s="217">
        <v>16500</v>
      </c>
      <c r="L37" s="189">
        <f t="shared" si="1"/>
        <v>1650000</v>
      </c>
      <c r="M37" s="189">
        <f t="shared" si="2"/>
        <v>825000</v>
      </c>
      <c r="N37" s="189">
        <f t="shared" si="3"/>
        <v>825000</v>
      </c>
      <c r="O37" s="189">
        <f t="shared" si="4"/>
        <v>0</v>
      </c>
      <c r="P37" s="189">
        <f t="shared" si="5"/>
        <v>0</v>
      </c>
      <c r="Q37" s="833" t="s">
        <v>4236</v>
      </c>
      <c r="R37" s="940"/>
      <c r="S37" s="940"/>
      <c r="T37" s="941">
        <f t="shared" si="6"/>
        <v>100</v>
      </c>
      <c r="U37" s="943"/>
    </row>
    <row r="38" spans="1:21" ht="15.75">
      <c r="A38" s="428" t="s">
        <v>2996</v>
      </c>
      <c r="B38" s="429"/>
      <c r="C38" s="429"/>
      <c r="D38" s="429"/>
      <c r="E38" s="429"/>
      <c r="F38" s="429"/>
      <c r="G38" s="429"/>
      <c r="H38" s="429"/>
      <c r="I38" s="429"/>
      <c r="J38" s="430"/>
      <c r="K38" s="217"/>
      <c r="L38" s="399">
        <f>SUM(L4:L37)</f>
        <v>804488000</v>
      </c>
      <c r="M38" s="399">
        <f>SUM(M4:M37)</f>
        <v>97753000</v>
      </c>
      <c r="N38" s="399">
        <f>SUM(N4:N37)</f>
        <v>497689500</v>
      </c>
      <c r="O38" s="399">
        <f>SUM(O4:O37)</f>
        <v>171029500</v>
      </c>
      <c r="P38" s="399">
        <f>SUM(P4:P37)</f>
        <v>38016000</v>
      </c>
      <c r="R38" s="940"/>
      <c r="S38" s="940"/>
      <c r="T38" s="941">
        <f t="shared" si="6"/>
        <v>0</v>
      </c>
      <c r="U38" s="943"/>
    </row>
    <row r="39" spans="1:21" ht="37.5">
      <c r="A39" s="434" t="s">
        <v>595</v>
      </c>
      <c r="B39" s="435" t="s">
        <v>272</v>
      </c>
      <c r="C39" s="435" t="s">
        <v>273</v>
      </c>
      <c r="D39" s="900" t="s">
        <v>274</v>
      </c>
      <c r="E39" s="901" t="s">
        <v>1</v>
      </c>
      <c r="F39" s="436" t="s">
        <v>275</v>
      </c>
      <c r="G39" s="1244" t="s">
        <v>2</v>
      </c>
      <c r="H39" s="1245"/>
      <c r="I39" s="1245"/>
      <c r="J39" s="1246"/>
      <c r="K39" s="431" t="s">
        <v>2881</v>
      </c>
      <c r="L39" s="432" t="s">
        <v>2882</v>
      </c>
      <c r="M39" s="432" t="s">
        <v>2883</v>
      </c>
      <c r="N39" s="432" t="s">
        <v>2884</v>
      </c>
      <c r="O39" s="432" t="s">
        <v>2885</v>
      </c>
      <c r="P39" s="432" t="s">
        <v>2886</v>
      </c>
      <c r="Q39" s="1249" t="s">
        <v>4230</v>
      </c>
      <c r="R39" s="940"/>
      <c r="S39" s="940"/>
      <c r="T39" s="941" t="e">
        <f t="shared" si="6"/>
        <v>#VALUE!</v>
      </c>
      <c r="U39" s="943"/>
    </row>
    <row r="40" spans="1:21" ht="37.5">
      <c r="A40" s="434"/>
      <c r="B40" s="435"/>
      <c r="C40" s="435"/>
      <c r="D40" s="435"/>
      <c r="E40" s="433"/>
      <c r="F40" s="436"/>
      <c r="G40" s="433" t="s">
        <v>3</v>
      </c>
      <c r="H40" s="433" t="s">
        <v>4</v>
      </c>
      <c r="I40" s="433" t="s">
        <v>5</v>
      </c>
      <c r="J40" s="433" t="s">
        <v>6</v>
      </c>
      <c r="K40" s="431"/>
      <c r="L40" s="432"/>
      <c r="M40" s="432"/>
      <c r="N40" s="432"/>
      <c r="O40" s="432"/>
      <c r="P40" s="432"/>
      <c r="Q40" s="1249"/>
      <c r="R40" s="940"/>
      <c r="S40" s="940"/>
      <c r="T40" s="941">
        <f t="shared" si="6"/>
        <v>0</v>
      </c>
      <c r="U40" s="943"/>
    </row>
    <row r="41" spans="1:21" ht="18.75" customHeight="1">
      <c r="A41" s="1233" t="s">
        <v>3051</v>
      </c>
      <c r="B41" s="1234"/>
      <c r="C41" s="1234"/>
      <c r="D41" s="1234"/>
      <c r="E41" s="1234"/>
      <c r="F41" s="1234"/>
      <c r="G41" s="1234"/>
      <c r="H41" s="1234"/>
      <c r="I41" s="1234"/>
      <c r="J41" s="1234"/>
      <c r="K41" s="1234"/>
      <c r="L41" s="1234"/>
      <c r="M41" s="1234"/>
      <c r="N41" s="1234"/>
      <c r="O41" s="1234"/>
      <c r="P41" s="1234"/>
      <c r="Q41" s="1234"/>
      <c r="R41" s="940"/>
      <c r="S41" s="940"/>
      <c r="T41" s="941">
        <f t="shared" si="6"/>
        <v>0</v>
      </c>
      <c r="U41" s="943"/>
    </row>
    <row r="42" spans="1:21" ht="47.25">
      <c r="A42" s="67">
        <v>1</v>
      </c>
      <c r="B42" s="427" t="s">
        <v>694</v>
      </c>
      <c r="C42" s="427" t="s">
        <v>695</v>
      </c>
      <c r="D42" s="64">
        <f>G42+H42+I42+J42</f>
        <v>180</v>
      </c>
      <c r="E42" s="64" t="s">
        <v>126</v>
      </c>
      <c r="F42" s="67" t="s">
        <v>777</v>
      </c>
      <c r="G42" s="67">
        <v>0</v>
      </c>
      <c r="H42" s="67">
        <v>100</v>
      </c>
      <c r="I42" s="67">
        <v>80</v>
      </c>
      <c r="J42" s="130">
        <v>0</v>
      </c>
      <c r="K42" s="397">
        <v>55000</v>
      </c>
      <c r="L42" s="185" t="e">
        <f>K42*E42</f>
        <v>#VALUE!</v>
      </c>
      <c r="M42" s="186">
        <f>K42*G42</f>
        <v>0</v>
      </c>
      <c r="N42" s="188">
        <f>K42*H42</f>
        <v>5500000</v>
      </c>
      <c r="O42" s="190">
        <f>K42*I42</f>
        <v>4400000</v>
      </c>
      <c r="P42" s="216">
        <f>K42*J42</f>
        <v>0</v>
      </c>
      <c r="Q42" s="833" t="s">
        <v>4236</v>
      </c>
      <c r="R42" s="940"/>
      <c r="S42" s="940"/>
      <c r="T42" s="941">
        <f t="shared" si="6"/>
        <v>180</v>
      </c>
      <c r="U42" s="943"/>
    </row>
    <row r="43" spans="1:21" ht="94.5">
      <c r="A43" s="453">
        <v>2</v>
      </c>
      <c r="B43" s="427" t="s">
        <v>696</v>
      </c>
      <c r="C43" s="427" t="s">
        <v>697</v>
      </c>
      <c r="D43" s="64">
        <f t="shared" ref="D43:D86" si="7">G43+H43+I43+J43</f>
        <v>12</v>
      </c>
      <c r="E43" s="750" t="s">
        <v>698</v>
      </c>
      <c r="F43" s="67" t="s">
        <v>778</v>
      </c>
      <c r="G43" s="67">
        <v>0</v>
      </c>
      <c r="H43" s="67">
        <v>12</v>
      </c>
      <c r="I43" s="65">
        <v>0</v>
      </c>
      <c r="J43" s="131">
        <v>0</v>
      </c>
      <c r="K43" s="397">
        <v>33000</v>
      </c>
      <c r="L43" s="185" t="e">
        <f t="shared" ref="L43:L86" si="8">K43*E43</f>
        <v>#VALUE!</v>
      </c>
      <c r="M43" s="186">
        <f t="shared" ref="M43:M86" si="9">K43*G43</f>
        <v>0</v>
      </c>
      <c r="N43" s="188">
        <f t="shared" ref="N43:N86" si="10">K43*H43</f>
        <v>396000</v>
      </c>
      <c r="O43" s="190">
        <f t="shared" ref="O43:O86" si="11">K43*I43</f>
        <v>0</v>
      </c>
      <c r="P43" s="216">
        <f t="shared" ref="P43:P86" si="12">K43*J43</f>
        <v>0</v>
      </c>
      <c r="Q43" s="833" t="s">
        <v>4236</v>
      </c>
      <c r="R43" s="940"/>
      <c r="S43" s="940"/>
      <c r="T43" s="941">
        <f t="shared" si="6"/>
        <v>12</v>
      </c>
      <c r="U43" s="943"/>
    </row>
    <row r="44" spans="1:21" ht="63">
      <c r="A44" s="453">
        <v>3</v>
      </c>
      <c r="B44" s="427" t="s">
        <v>699</v>
      </c>
      <c r="C44" s="427" t="s">
        <v>700</v>
      </c>
      <c r="D44" s="64">
        <f t="shared" si="7"/>
        <v>100</v>
      </c>
      <c r="E44" s="64" t="s">
        <v>126</v>
      </c>
      <c r="F44" s="67" t="s">
        <v>779</v>
      </c>
      <c r="G44" s="67">
        <v>0</v>
      </c>
      <c r="H44" s="67">
        <v>100</v>
      </c>
      <c r="I44" s="65">
        <v>0</v>
      </c>
      <c r="J44" s="131">
        <v>0</v>
      </c>
      <c r="K44" s="397">
        <v>2200</v>
      </c>
      <c r="L44" s="185" t="e">
        <f t="shared" si="8"/>
        <v>#VALUE!</v>
      </c>
      <c r="M44" s="186">
        <f t="shared" si="9"/>
        <v>0</v>
      </c>
      <c r="N44" s="188">
        <f t="shared" si="10"/>
        <v>220000</v>
      </c>
      <c r="O44" s="190">
        <f t="shared" si="11"/>
        <v>0</v>
      </c>
      <c r="P44" s="216">
        <f t="shared" si="12"/>
        <v>0</v>
      </c>
      <c r="Q44" s="833" t="s">
        <v>4236</v>
      </c>
      <c r="R44" s="940"/>
      <c r="S44" s="940"/>
      <c r="T44" s="941">
        <f t="shared" si="6"/>
        <v>100</v>
      </c>
      <c r="U44" s="943"/>
    </row>
    <row r="45" spans="1:21" ht="63">
      <c r="A45" s="453">
        <v>4</v>
      </c>
      <c r="B45" s="427" t="s">
        <v>701</v>
      </c>
      <c r="C45" s="427" t="s">
        <v>702</v>
      </c>
      <c r="D45" s="64">
        <f t="shared" si="7"/>
        <v>100</v>
      </c>
      <c r="E45" s="64" t="s">
        <v>126</v>
      </c>
      <c r="F45" s="67" t="s">
        <v>779</v>
      </c>
      <c r="G45" s="67">
        <v>0</v>
      </c>
      <c r="H45" s="67">
        <v>100</v>
      </c>
      <c r="I45" s="65">
        <v>0</v>
      </c>
      <c r="J45" s="131">
        <v>0</v>
      </c>
      <c r="K45" s="397">
        <v>1650</v>
      </c>
      <c r="L45" s="185" t="e">
        <f t="shared" si="8"/>
        <v>#VALUE!</v>
      </c>
      <c r="M45" s="186">
        <f t="shared" si="9"/>
        <v>0</v>
      </c>
      <c r="N45" s="188">
        <f t="shared" si="10"/>
        <v>165000</v>
      </c>
      <c r="O45" s="190">
        <f t="shared" si="11"/>
        <v>0</v>
      </c>
      <c r="P45" s="216">
        <f t="shared" si="12"/>
        <v>0</v>
      </c>
      <c r="Q45" s="833" t="s">
        <v>4236</v>
      </c>
      <c r="R45" s="940"/>
      <c r="S45" s="940"/>
      <c r="T45" s="941">
        <f t="shared" si="6"/>
        <v>100</v>
      </c>
      <c r="U45" s="943"/>
    </row>
    <row r="46" spans="1:21" ht="63">
      <c r="A46" s="453">
        <v>5</v>
      </c>
      <c r="B46" s="427" t="s">
        <v>703</v>
      </c>
      <c r="C46" s="442" t="s">
        <v>3053</v>
      </c>
      <c r="D46" s="64">
        <f t="shared" si="7"/>
        <v>13</v>
      </c>
      <c r="E46" s="750" t="s">
        <v>698</v>
      </c>
      <c r="F46" s="67" t="s">
        <v>779</v>
      </c>
      <c r="G46" s="67">
        <v>0</v>
      </c>
      <c r="H46" s="67">
        <v>13</v>
      </c>
      <c r="I46" s="65">
        <v>0</v>
      </c>
      <c r="J46" s="131">
        <v>0</v>
      </c>
      <c r="K46" s="397">
        <v>38500</v>
      </c>
      <c r="L46" s="185" t="e">
        <f t="shared" si="8"/>
        <v>#VALUE!</v>
      </c>
      <c r="M46" s="186">
        <f t="shared" si="9"/>
        <v>0</v>
      </c>
      <c r="N46" s="188">
        <f t="shared" si="10"/>
        <v>500500</v>
      </c>
      <c r="O46" s="190">
        <f t="shared" si="11"/>
        <v>0</v>
      </c>
      <c r="P46" s="216">
        <f t="shared" si="12"/>
        <v>0</v>
      </c>
      <c r="Q46" s="833" t="s">
        <v>4236</v>
      </c>
      <c r="R46" s="940"/>
      <c r="S46" s="940"/>
      <c r="T46" s="941">
        <f t="shared" si="6"/>
        <v>13</v>
      </c>
      <c r="U46" s="943"/>
    </row>
    <row r="47" spans="1:21" ht="110.25">
      <c r="A47" s="453">
        <v>6</v>
      </c>
      <c r="B47" s="427" t="s">
        <v>704</v>
      </c>
      <c r="C47" s="427" t="s">
        <v>705</v>
      </c>
      <c r="D47" s="64">
        <f t="shared" si="7"/>
        <v>20</v>
      </c>
      <c r="E47" s="64" t="s">
        <v>126</v>
      </c>
      <c r="F47" s="67" t="s">
        <v>778</v>
      </c>
      <c r="G47" s="67">
        <v>0</v>
      </c>
      <c r="H47" s="67">
        <v>20</v>
      </c>
      <c r="I47" s="65">
        <v>0</v>
      </c>
      <c r="J47" s="131">
        <v>0</v>
      </c>
      <c r="K47" s="397">
        <v>3300</v>
      </c>
      <c r="L47" s="185" t="e">
        <f t="shared" si="8"/>
        <v>#VALUE!</v>
      </c>
      <c r="M47" s="186">
        <f t="shared" si="9"/>
        <v>0</v>
      </c>
      <c r="N47" s="188">
        <f t="shared" si="10"/>
        <v>66000</v>
      </c>
      <c r="O47" s="190">
        <f t="shared" si="11"/>
        <v>0</v>
      </c>
      <c r="P47" s="216">
        <f t="shared" si="12"/>
        <v>0</v>
      </c>
      <c r="Q47" s="833" t="s">
        <v>4236</v>
      </c>
      <c r="R47" s="940"/>
      <c r="S47" s="940"/>
      <c r="T47" s="941">
        <f t="shared" si="6"/>
        <v>20</v>
      </c>
      <c r="U47" s="943"/>
    </row>
    <row r="48" spans="1:21" ht="236.25">
      <c r="A48" s="453">
        <v>7</v>
      </c>
      <c r="B48" s="427" t="s">
        <v>706</v>
      </c>
      <c r="C48" s="427" t="s">
        <v>707</v>
      </c>
      <c r="D48" s="64">
        <f t="shared" si="7"/>
        <v>15</v>
      </c>
      <c r="E48" s="64" t="s">
        <v>126</v>
      </c>
      <c r="F48" s="67" t="s">
        <v>778</v>
      </c>
      <c r="G48" s="67">
        <v>0</v>
      </c>
      <c r="H48" s="67">
        <v>15</v>
      </c>
      <c r="I48" s="65">
        <v>0</v>
      </c>
      <c r="J48" s="131">
        <v>0</v>
      </c>
      <c r="K48" s="397">
        <v>28600</v>
      </c>
      <c r="L48" s="185" t="e">
        <f t="shared" si="8"/>
        <v>#VALUE!</v>
      </c>
      <c r="M48" s="186">
        <f t="shared" si="9"/>
        <v>0</v>
      </c>
      <c r="N48" s="188">
        <f t="shared" si="10"/>
        <v>429000</v>
      </c>
      <c r="O48" s="190">
        <f t="shared" si="11"/>
        <v>0</v>
      </c>
      <c r="P48" s="216">
        <f t="shared" si="12"/>
        <v>0</v>
      </c>
      <c r="Q48" s="833" t="s">
        <v>4236</v>
      </c>
      <c r="R48" s="940"/>
      <c r="S48" s="940"/>
      <c r="T48" s="941">
        <f t="shared" si="6"/>
        <v>15</v>
      </c>
      <c r="U48" s="943"/>
    </row>
    <row r="49" spans="1:21" ht="94.5">
      <c r="A49" s="453">
        <v>8</v>
      </c>
      <c r="B49" s="427" t="s">
        <v>708</v>
      </c>
      <c r="C49" s="427" t="s">
        <v>709</v>
      </c>
      <c r="D49" s="64">
        <f t="shared" si="7"/>
        <v>10</v>
      </c>
      <c r="E49" s="64" t="s">
        <v>126</v>
      </c>
      <c r="F49" s="67" t="s">
        <v>780</v>
      </c>
      <c r="G49" s="67">
        <v>0</v>
      </c>
      <c r="H49" s="67">
        <v>10</v>
      </c>
      <c r="I49" s="65">
        <v>0</v>
      </c>
      <c r="J49" s="131">
        <v>0</v>
      </c>
      <c r="K49" s="397">
        <v>82500</v>
      </c>
      <c r="L49" s="185" t="e">
        <f t="shared" si="8"/>
        <v>#VALUE!</v>
      </c>
      <c r="M49" s="186">
        <f t="shared" si="9"/>
        <v>0</v>
      </c>
      <c r="N49" s="188">
        <f t="shared" si="10"/>
        <v>825000</v>
      </c>
      <c r="O49" s="190">
        <f t="shared" si="11"/>
        <v>0</v>
      </c>
      <c r="P49" s="216">
        <f t="shared" si="12"/>
        <v>0</v>
      </c>
      <c r="Q49" s="833" t="s">
        <v>4236</v>
      </c>
      <c r="R49" s="940"/>
      <c r="S49" s="940"/>
      <c r="T49" s="941">
        <f t="shared" si="6"/>
        <v>10</v>
      </c>
      <c r="U49" s="943"/>
    </row>
    <row r="50" spans="1:21" ht="204.75">
      <c r="A50" s="453">
        <v>9</v>
      </c>
      <c r="B50" s="427" t="s">
        <v>710</v>
      </c>
      <c r="C50" s="427" t="s">
        <v>711</v>
      </c>
      <c r="D50" s="64">
        <f t="shared" si="7"/>
        <v>220</v>
      </c>
      <c r="E50" s="64" t="s">
        <v>126</v>
      </c>
      <c r="F50" s="67" t="s">
        <v>780</v>
      </c>
      <c r="G50" s="67">
        <v>0</v>
      </c>
      <c r="H50" s="67">
        <v>220</v>
      </c>
      <c r="I50" s="65">
        <v>0</v>
      </c>
      <c r="J50" s="131">
        <v>0</v>
      </c>
      <c r="K50" s="397">
        <v>4400</v>
      </c>
      <c r="L50" s="185" t="e">
        <f t="shared" si="8"/>
        <v>#VALUE!</v>
      </c>
      <c r="M50" s="186">
        <f t="shared" si="9"/>
        <v>0</v>
      </c>
      <c r="N50" s="188">
        <f t="shared" si="10"/>
        <v>968000</v>
      </c>
      <c r="O50" s="190">
        <f t="shared" si="11"/>
        <v>0</v>
      </c>
      <c r="P50" s="216">
        <f t="shared" si="12"/>
        <v>0</v>
      </c>
      <c r="Q50" s="833" t="s">
        <v>4236</v>
      </c>
      <c r="R50" s="940"/>
      <c r="S50" s="940"/>
      <c r="T50" s="941">
        <f t="shared" si="6"/>
        <v>220</v>
      </c>
      <c r="U50" s="943"/>
    </row>
    <row r="51" spans="1:21" ht="110.25">
      <c r="A51" s="453">
        <v>10</v>
      </c>
      <c r="B51" s="427" t="s">
        <v>710</v>
      </c>
      <c r="C51" s="427" t="s">
        <v>712</v>
      </c>
      <c r="D51" s="64">
        <f t="shared" si="7"/>
        <v>205</v>
      </c>
      <c r="E51" s="64" t="s">
        <v>126</v>
      </c>
      <c r="F51" s="67" t="s">
        <v>780</v>
      </c>
      <c r="G51" s="67">
        <v>0</v>
      </c>
      <c r="H51" s="67">
        <v>205</v>
      </c>
      <c r="I51" s="65">
        <v>0</v>
      </c>
      <c r="J51" s="131">
        <v>0</v>
      </c>
      <c r="K51" s="397">
        <v>4400</v>
      </c>
      <c r="L51" s="185" t="e">
        <f t="shared" si="8"/>
        <v>#VALUE!</v>
      </c>
      <c r="M51" s="186">
        <f t="shared" si="9"/>
        <v>0</v>
      </c>
      <c r="N51" s="188">
        <f t="shared" si="10"/>
        <v>902000</v>
      </c>
      <c r="O51" s="190">
        <f t="shared" si="11"/>
        <v>0</v>
      </c>
      <c r="P51" s="216">
        <f t="shared" si="12"/>
        <v>0</v>
      </c>
      <c r="Q51" s="833" t="s">
        <v>4236</v>
      </c>
      <c r="R51" s="940"/>
      <c r="S51" s="940"/>
      <c r="T51" s="941">
        <f t="shared" si="6"/>
        <v>205</v>
      </c>
      <c r="U51" s="943"/>
    </row>
    <row r="52" spans="1:21" ht="283.5">
      <c r="A52" s="453">
        <v>11</v>
      </c>
      <c r="B52" s="427" t="s">
        <v>713</v>
      </c>
      <c r="C52" s="427" t="s">
        <v>714</v>
      </c>
      <c r="D52" s="64">
        <f t="shared" si="7"/>
        <v>30</v>
      </c>
      <c r="E52" s="64" t="s">
        <v>126</v>
      </c>
      <c r="F52" s="67" t="s">
        <v>778</v>
      </c>
      <c r="G52" s="67">
        <v>0</v>
      </c>
      <c r="H52" s="67">
        <v>30</v>
      </c>
      <c r="I52" s="65">
        <v>0</v>
      </c>
      <c r="J52" s="131">
        <v>0</v>
      </c>
      <c r="K52" s="397">
        <v>49500</v>
      </c>
      <c r="L52" s="185" t="e">
        <f t="shared" si="8"/>
        <v>#VALUE!</v>
      </c>
      <c r="M52" s="186">
        <f t="shared" si="9"/>
        <v>0</v>
      </c>
      <c r="N52" s="188">
        <f t="shared" si="10"/>
        <v>1485000</v>
      </c>
      <c r="O52" s="190">
        <f t="shared" si="11"/>
        <v>0</v>
      </c>
      <c r="P52" s="216">
        <f t="shared" si="12"/>
        <v>0</v>
      </c>
      <c r="Q52" s="833" t="s">
        <v>4236</v>
      </c>
      <c r="R52" s="940"/>
      <c r="S52" s="940"/>
      <c r="T52" s="941">
        <f t="shared" si="6"/>
        <v>30</v>
      </c>
      <c r="U52" s="943"/>
    </row>
    <row r="53" spans="1:21" ht="94.5">
      <c r="A53" s="453">
        <v>12</v>
      </c>
      <c r="B53" s="427" t="s">
        <v>715</v>
      </c>
      <c r="C53" s="427" t="s">
        <v>716</v>
      </c>
      <c r="D53" s="64">
        <f t="shared" si="7"/>
        <v>200</v>
      </c>
      <c r="E53" s="64" t="s">
        <v>126</v>
      </c>
      <c r="F53" s="67" t="s">
        <v>780</v>
      </c>
      <c r="G53" s="67">
        <v>0</v>
      </c>
      <c r="H53" s="67">
        <v>200</v>
      </c>
      <c r="I53" s="65">
        <v>0</v>
      </c>
      <c r="J53" s="131">
        <v>0</v>
      </c>
      <c r="K53" s="397">
        <v>3300</v>
      </c>
      <c r="L53" s="185" t="e">
        <f t="shared" si="8"/>
        <v>#VALUE!</v>
      </c>
      <c r="M53" s="186">
        <f t="shared" si="9"/>
        <v>0</v>
      </c>
      <c r="N53" s="188">
        <f t="shared" si="10"/>
        <v>660000</v>
      </c>
      <c r="O53" s="190">
        <f t="shared" si="11"/>
        <v>0</v>
      </c>
      <c r="P53" s="216">
        <f t="shared" si="12"/>
        <v>0</v>
      </c>
      <c r="Q53" s="833" t="s">
        <v>4236</v>
      </c>
      <c r="R53" s="940"/>
      <c r="S53" s="940"/>
      <c r="T53" s="941">
        <f t="shared" si="6"/>
        <v>200</v>
      </c>
      <c r="U53" s="943"/>
    </row>
    <row r="54" spans="1:21" ht="220.5">
      <c r="A54" s="453">
        <v>13</v>
      </c>
      <c r="B54" s="427" t="s">
        <v>717</v>
      </c>
      <c r="C54" s="427" t="s">
        <v>718</v>
      </c>
      <c r="D54" s="64">
        <f t="shared" si="7"/>
        <v>12</v>
      </c>
      <c r="E54" s="750" t="s">
        <v>719</v>
      </c>
      <c r="F54" s="67" t="s">
        <v>780</v>
      </c>
      <c r="G54" s="67">
        <v>0</v>
      </c>
      <c r="H54" s="67">
        <v>12</v>
      </c>
      <c r="I54" s="65">
        <v>0</v>
      </c>
      <c r="J54" s="131">
        <v>0</v>
      </c>
      <c r="K54" s="397">
        <v>3300</v>
      </c>
      <c r="L54" s="185" t="e">
        <f t="shared" si="8"/>
        <v>#VALUE!</v>
      </c>
      <c r="M54" s="186">
        <f t="shared" si="9"/>
        <v>0</v>
      </c>
      <c r="N54" s="188">
        <f t="shared" si="10"/>
        <v>39600</v>
      </c>
      <c r="O54" s="190">
        <f t="shared" si="11"/>
        <v>0</v>
      </c>
      <c r="P54" s="216">
        <f t="shared" si="12"/>
        <v>0</v>
      </c>
      <c r="Q54" s="833" t="s">
        <v>4236</v>
      </c>
      <c r="R54" s="940"/>
      <c r="S54" s="940"/>
      <c r="T54" s="941">
        <f t="shared" si="6"/>
        <v>12</v>
      </c>
      <c r="U54" s="943"/>
    </row>
    <row r="55" spans="1:21" ht="31.5">
      <c r="A55" s="453">
        <v>14</v>
      </c>
      <c r="B55" s="427" t="s">
        <v>720</v>
      </c>
      <c r="C55" s="427" t="s">
        <v>721</v>
      </c>
      <c r="D55" s="64">
        <f t="shared" si="7"/>
        <v>40</v>
      </c>
      <c r="E55" s="64" t="s">
        <v>126</v>
      </c>
      <c r="F55" s="67" t="s">
        <v>778</v>
      </c>
      <c r="G55" s="67">
        <v>0</v>
      </c>
      <c r="H55" s="67">
        <v>40</v>
      </c>
      <c r="I55" s="65">
        <v>0</v>
      </c>
      <c r="J55" s="131">
        <v>0</v>
      </c>
      <c r="K55" s="397">
        <v>2035</v>
      </c>
      <c r="L55" s="185" t="e">
        <f t="shared" si="8"/>
        <v>#VALUE!</v>
      </c>
      <c r="M55" s="186">
        <f t="shared" si="9"/>
        <v>0</v>
      </c>
      <c r="N55" s="188">
        <f t="shared" si="10"/>
        <v>81400</v>
      </c>
      <c r="O55" s="190">
        <f t="shared" si="11"/>
        <v>0</v>
      </c>
      <c r="P55" s="216">
        <f t="shared" si="12"/>
        <v>0</v>
      </c>
      <c r="Q55" s="887" t="s">
        <v>4227</v>
      </c>
      <c r="R55" s="940"/>
      <c r="S55" s="940"/>
      <c r="T55" s="941">
        <f t="shared" si="6"/>
        <v>40</v>
      </c>
      <c r="U55" s="943"/>
    </row>
    <row r="56" spans="1:21" ht="78.75">
      <c r="A56" s="453">
        <v>15</v>
      </c>
      <c r="B56" s="427" t="s">
        <v>722</v>
      </c>
      <c r="C56" s="427" t="s">
        <v>723</v>
      </c>
      <c r="D56" s="64">
        <f t="shared" si="7"/>
        <v>8</v>
      </c>
      <c r="E56" s="750" t="s">
        <v>719</v>
      </c>
      <c r="F56" s="67" t="s">
        <v>778</v>
      </c>
      <c r="G56" s="67">
        <v>0</v>
      </c>
      <c r="H56" s="67">
        <v>8</v>
      </c>
      <c r="I56" s="65">
        <v>0</v>
      </c>
      <c r="J56" s="131">
        <v>0</v>
      </c>
      <c r="K56" s="397">
        <v>77000</v>
      </c>
      <c r="L56" s="185" t="e">
        <f t="shared" si="8"/>
        <v>#VALUE!</v>
      </c>
      <c r="M56" s="186">
        <f t="shared" si="9"/>
        <v>0</v>
      </c>
      <c r="N56" s="188">
        <f t="shared" si="10"/>
        <v>616000</v>
      </c>
      <c r="O56" s="190">
        <f t="shared" si="11"/>
        <v>0</v>
      </c>
      <c r="P56" s="216">
        <f t="shared" si="12"/>
        <v>0</v>
      </c>
      <c r="Q56" s="887" t="s">
        <v>4227</v>
      </c>
      <c r="R56" s="940"/>
      <c r="S56" s="940"/>
      <c r="T56" s="941">
        <f t="shared" si="6"/>
        <v>8</v>
      </c>
      <c r="U56" s="943"/>
    </row>
    <row r="57" spans="1:21" ht="47.25">
      <c r="A57" s="453">
        <v>16</v>
      </c>
      <c r="B57" s="427" t="s">
        <v>724</v>
      </c>
      <c r="C57" s="427" t="s">
        <v>725</v>
      </c>
      <c r="D57" s="64">
        <f t="shared" si="7"/>
        <v>40</v>
      </c>
      <c r="E57" s="64" t="s">
        <v>126</v>
      </c>
      <c r="F57" s="67" t="s">
        <v>780</v>
      </c>
      <c r="G57" s="67">
        <v>0</v>
      </c>
      <c r="H57" s="67">
        <v>40</v>
      </c>
      <c r="I57" s="65">
        <v>0</v>
      </c>
      <c r="J57" s="131">
        <v>0</v>
      </c>
      <c r="K57" s="397">
        <v>8250</v>
      </c>
      <c r="L57" s="185" t="e">
        <f t="shared" si="8"/>
        <v>#VALUE!</v>
      </c>
      <c r="M57" s="186">
        <f t="shared" si="9"/>
        <v>0</v>
      </c>
      <c r="N57" s="188">
        <f t="shared" si="10"/>
        <v>330000</v>
      </c>
      <c r="O57" s="190">
        <f t="shared" si="11"/>
        <v>0</v>
      </c>
      <c r="P57" s="216">
        <f t="shared" si="12"/>
        <v>0</v>
      </c>
      <c r="Q57" s="833" t="s">
        <v>4236</v>
      </c>
      <c r="R57" s="940"/>
      <c r="S57" s="940"/>
      <c r="T57" s="941">
        <f t="shared" si="6"/>
        <v>40</v>
      </c>
      <c r="U57" s="943"/>
    </row>
    <row r="58" spans="1:21" ht="31.5">
      <c r="A58" s="453">
        <v>17</v>
      </c>
      <c r="B58" s="427" t="s">
        <v>726</v>
      </c>
      <c r="C58" s="427" t="s">
        <v>727</v>
      </c>
      <c r="D58" s="64">
        <f t="shared" si="7"/>
        <v>70</v>
      </c>
      <c r="E58" s="750" t="s">
        <v>126</v>
      </c>
      <c r="F58" s="67" t="s">
        <v>780</v>
      </c>
      <c r="G58" s="67">
        <v>0</v>
      </c>
      <c r="H58" s="67">
        <v>70</v>
      </c>
      <c r="I58" s="65">
        <v>0</v>
      </c>
      <c r="J58" s="131">
        <v>0</v>
      </c>
      <c r="K58" s="397">
        <v>3300</v>
      </c>
      <c r="L58" s="185" t="e">
        <f t="shared" si="8"/>
        <v>#VALUE!</v>
      </c>
      <c r="M58" s="186">
        <f t="shared" si="9"/>
        <v>0</v>
      </c>
      <c r="N58" s="188">
        <f t="shared" si="10"/>
        <v>231000</v>
      </c>
      <c r="O58" s="190">
        <f t="shared" si="11"/>
        <v>0</v>
      </c>
      <c r="P58" s="216">
        <f t="shared" si="12"/>
        <v>0</v>
      </c>
      <c r="Q58" s="833" t="s">
        <v>4236</v>
      </c>
      <c r="R58" s="940"/>
      <c r="S58" s="940"/>
      <c r="T58" s="941">
        <f t="shared" si="6"/>
        <v>70</v>
      </c>
      <c r="U58" s="943"/>
    </row>
    <row r="59" spans="1:21" ht="31.5">
      <c r="A59" s="453">
        <v>18</v>
      </c>
      <c r="B59" s="427" t="s">
        <v>728</v>
      </c>
      <c r="C59" s="427"/>
      <c r="D59" s="64">
        <f t="shared" si="7"/>
        <v>90</v>
      </c>
      <c r="E59" s="750" t="s">
        <v>126</v>
      </c>
      <c r="F59" s="67" t="s">
        <v>780</v>
      </c>
      <c r="G59" s="67">
        <v>0</v>
      </c>
      <c r="H59" s="67">
        <v>90</v>
      </c>
      <c r="I59" s="65">
        <v>0</v>
      </c>
      <c r="J59" s="131">
        <v>0</v>
      </c>
      <c r="K59" s="397">
        <v>3300</v>
      </c>
      <c r="L59" s="185" t="e">
        <f t="shared" si="8"/>
        <v>#VALUE!</v>
      </c>
      <c r="M59" s="186">
        <f t="shared" si="9"/>
        <v>0</v>
      </c>
      <c r="N59" s="188">
        <f t="shared" si="10"/>
        <v>297000</v>
      </c>
      <c r="O59" s="190">
        <f t="shared" si="11"/>
        <v>0</v>
      </c>
      <c r="P59" s="216">
        <f t="shared" si="12"/>
        <v>0</v>
      </c>
      <c r="Q59" s="833" t="s">
        <v>4236</v>
      </c>
      <c r="R59" s="940"/>
      <c r="S59" s="940"/>
      <c r="T59" s="941">
        <f t="shared" si="6"/>
        <v>90</v>
      </c>
      <c r="U59" s="943"/>
    </row>
    <row r="60" spans="1:21" ht="31.5">
      <c r="A60" s="453">
        <v>19</v>
      </c>
      <c r="B60" s="427" t="s">
        <v>729</v>
      </c>
      <c r="C60" s="427"/>
      <c r="D60" s="64">
        <f t="shared" si="7"/>
        <v>70</v>
      </c>
      <c r="E60" s="750" t="s">
        <v>126</v>
      </c>
      <c r="F60" s="67" t="s">
        <v>780</v>
      </c>
      <c r="G60" s="67">
        <v>0</v>
      </c>
      <c r="H60" s="67">
        <v>70</v>
      </c>
      <c r="I60" s="65">
        <v>0</v>
      </c>
      <c r="J60" s="131">
        <v>0</v>
      </c>
      <c r="K60" s="397">
        <v>3300</v>
      </c>
      <c r="L60" s="185" t="e">
        <f t="shared" si="8"/>
        <v>#VALUE!</v>
      </c>
      <c r="M60" s="186">
        <f t="shared" si="9"/>
        <v>0</v>
      </c>
      <c r="N60" s="188">
        <f t="shared" si="10"/>
        <v>231000</v>
      </c>
      <c r="O60" s="190">
        <f t="shared" si="11"/>
        <v>0</v>
      </c>
      <c r="P60" s="216">
        <f t="shared" si="12"/>
        <v>0</v>
      </c>
      <c r="Q60" s="833" t="s">
        <v>4236</v>
      </c>
      <c r="R60" s="940"/>
      <c r="S60" s="940"/>
      <c r="T60" s="941">
        <f t="shared" si="6"/>
        <v>70</v>
      </c>
      <c r="U60" s="943"/>
    </row>
    <row r="61" spans="1:21" ht="31.5">
      <c r="A61" s="453">
        <v>20</v>
      </c>
      <c r="B61" s="427" t="s">
        <v>730</v>
      </c>
      <c r="C61" s="427"/>
      <c r="D61" s="64">
        <f t="shared" si="7"/>
        <v>70</v>
      </c>
      <c r="E61" s="750" t="s">
        <v>126</v>
      </c>
      <c r="F61" s="67" t="s">
        <v>780</v>
      </c>
      <c r="G61" s="67">
        <v>0</v>
      </c>
      <c r="H61" s="67">
        <v>70</v>
      </c>
      <c r="I61" s="65">
        <v>0</v>
      </c>
      <c r="J61" s="131">
        <v>0</v>
      </c>
      <c r="K61" s="397">
        <v>3300</v>
      </c>
      <c r="L61" s="185" t="e">
        <f t="shared" si="8"/>
        <v>#VALUE!</v>
      </c>
      <c r="M61" s="186">
        <f t="shared" si="9"/>
        <v>0</v>
      </c>
      <c r="N61" s="188">
        <f t="shared" si="10"/>
        <v>231000</v>
      </c>
      <c r="O61" s="190">
        <f t="shared" si="11"/>
        <v>0</v>
      </c>
      <c r="P61" s="216">
        <f t="shared" si="12"/>
        <v>0</v>
      </c>
      <c r="Q61" s="833" t="s">
        <v>4236</v>
      </c>
      <c r="R61" s="940"/>
      <c r="S61" s="940"/>
      <c r="T61" s="941">
        <f t="shared" si="6"/>
        <v>70</v>
      </c>
      <c r="U61" s="943"/>
    </row>
    <row r="62" spans="1:21" ht="31.5">
      <c r="A62" s="453">
        <v>21</v>
      </c>
      <c r="B62" s="427" t="s">
        <v>731</v>
      </c>
      <c r="C62" s="427"/>
      <c r="D62" s="64">
        <f t="shared" si="7"/>
        <v>70</v>
      </c>
      <c r="E62" s="750" t="s">
        <v>126</v>
      </c>
      <c r="F62" s="67" t="s">
        <v>780</v>
      </c>
      <c r="G62" s="67">
        <v>0</v>
      </c>
      <c r="H62" s="67">
        <v>70</v>
      </c>
      <c r="I62" s="65">
        <v>0</v>
      </c>
      <c r="J62" s="131">
        <v>0</v>
      </c>
      <c r="K62" s="397">
        <v>3300</v>
      </c>
      <c r="L62" s="185" t="e">
        <f t="shared" si="8"/>
        <v>#VALUE!</v>
      </c>
      <c r="M62" s="186">
        <f t="shared" si="9"/>
        <v>0</v>
      </c>
      <c r="N62" s="188">
        <f t="shared" si="10"/>
        <v>231000</v>
      </c>
      <c r="O62" s="190">
        <f t="shared" si="11"/>
        <v>0</v>
      </c>
      <c r="P62" s="216">
        <f t="shared" si="12"/>
        <v>0</v>
      </c>
      <c r="Q62" s="833" t="s">
        <v>4236</v>
      </c>
      <c r="R62" s="940"/>
      <c r="S62" s="940"/>
      <c r="T62" s="941">
        <f t="shared" si="6"/>
        <v>70</v>
      </c>
      <c r="U62" s="943"/>
    </row>
    <row r="63" spans="1:21" ht="31.5">
      <c r="A63" s="453">
        <v>22</v>
      </c>
      <c r="B63" s="427" t="s">
        <v>732</v>
      </c>
      <c r="C63" s="427"/>
      <c r="D63" s="64">
        <f t="shared" si="7"/>
        <v>70</v>
      </c>
      <c r="E63" s="750" t="s">
        <v>126</v>
      </c>
      <c r="F63" s="67" t="s">
        <v>780</v>
      </c>
      <c r="G63" s="67">
        <v>0</v>
      </c>
      <c r="H63" s="67">
        <v>70</v>
      </c>
      <c r="I63" s="65">
        <v>0</v>
      </c>
      <c r="J63" s="131">
        <v>0</v>
      </c>
      <c r="K63" s="397">
        <v>3300</v>
      </c>
      <c r="L63" s="185" t="e">
        <f t="shared" si="8"/>
        <v>#VALUE!</v>
      </c>
      <c r="M63" s="186">
        <f t="shared" si="9"/>
        <v>0</v>
      </c>
      <c r="N63" s="188">
        <f t="shared" si="10"/>
        <v>231000</v>
      </c>
      <c r="O63" s="190">
        <f t="shared" si="11"/>
        <v>0</v>
      </c>
      <c r="P63" s="216">
        <f t="shared" si="12"/>
        <v>0</v>
      </c>
      <c r="Q63" s="833" t="s">
        <v>4236</v>
      </c>
      <c r="R63" s="940"/>
      <c r="S63" s="940"/>
      <c r="T63" s="941">
        <f t="shared" si="6"/>
        <v>70</v>
      </c>
      <c r="U63" s="943"/>
    </row>
    <row r="64" spans="1:21" ht="63">
      <c r="A64" s="453">
        <v>23</v>
      </c>
      <c r="B64" s="427" t="s">
        <v>733</v>
      </c>
      <c r="C64" s="427" t="s">
        <v>734</v>
      </c>
      <c r="D64" s="64">
        <f t="shared" si="7"/>
        <v>25</v>
      </c>
      <c r="E64" s="750" t="s">
        <v>693</v>
      </c>
      <c r="F64" s="67" t="s">
        <v>778</v>
      </c>
      <c r="G64" s="67">
        <v>0</v>
      </c>
      <c r="H64" s="67">
        <v>25</v>
      </c>
      <c r="I64" s="65">
        <v>0</v>
      </c>
      <c r="J64" s="131">
        <v>0</v>
      </c>
      <c r="K64" s="397">
        <v>4950</v>
      </c>
      <c r="L64" s="185" t="e">
        <f t="shared" si="8"/>
        <v>#VALUE!</v>
      </c>
      <c r="M64" s="186">
        <f t="shared" si="9"/>
        <v>0</v>
      </c>
      <c r="N64" s="188">
        <f t="shared" si="10"/>
        <v>123750</v>
      </c>
      <c r="O64" s="190">
        <f t="shared" si="11"/>
        <v>0</v>
      </c>
      <c r="P64" s="216">
        <f t="shared" si="12"/>
        <v>0</v>
      </c>
      <c r="Q64" s="833" t="s">
        <v>4236</v>
      </c>
      <c r="R64" s="940"/>
      <c r="S64" s="940"/>
      <c r="T64" s="941">
        <f t="shared" si="6"/>
        <v>25</v>
      </c>
      <c r="U64" s="943"/>
    </row>
    <row r="65" spans="1:21" ht="94.5">
      <c r="A65" s="453">
        <v>24</v>
      </c>
      <c r="B65" s="427" t="s">
        <v>735</v>
      </c>
      <c r="C65" s="427" t="s">
        <v>736</v>
      </c>
      <c r="D65" s="64">
        <f t="shared" si="7"/>
        <v>20</v>
      </c>
      <c r="E65" s="750" t="s">
        <v>693</v>
      </c>
      <c r="F65" s="67" t="s">
        <v>778</v>
      </c>
      <c r="G65" s="67">
        <v>0</v>
      </c>
      <c r="H65" s="67">
        <v>20</v>
      </c>
      <c r="I65" s="65">
        <v>0</v>
      </c>
      <c r="J65" s="131">
        <v>0</v>
      </c>
      <c r="K65" s="397">
        <v>4400</v>
      </c>
      <c r="L65" s="185" t="e">
        <f t="shared" si="8"/>
        <v>#VALUE!</v>
      </c>
      <c r="M65" s="186">
        <f t="shared" si="9"/>
        <v>0</v>
      </c>
      <c r="N65" s="188">
        <f t="shared" si="10"/>
        <v>88000</v>
      </c>
      <c r="O65" s="190">
        <f t="shared" si="11"/>
        <v>0</v>
      </c>
      <c r="P65" s="216">
        <f t="shared" si="12"/>
        <v>0</v>
      </c>
      <c r="Q65" s="833" t="s">
        <v>4236</v>
      </c>
      <c r="R65" s="940"/>
      <c r="S65" s="940"/>
      <c r="T65" s="941">
        <f t="shared" si="6"/>
        <v>20</v>
      </c>
      <c r="U65" s="943"/>
    </row>
    <row r="66" spans="1:21" ht="267.75">
      <c r="A66" s="453">
        <v>25</v>
      </c>
      <c r="B66" s="427" t="s">
        <v>737</v>
      </c>
      <c r="C66" s="427" t="s">
        <v>738</v>
      </c>
      <c r="D66" s="64">
        <f t="shared" si="7"/>
        <v>150</v>
      </c>
      <c r="E66" s="750" t="s">
        <v>126</v>
      </c>
      <c r="F66" s="67" t="s">
        <v>780</v>
      </c>
      <c r="G66" s="67">
        <v>0</v>
      </c>
      <c r="H66" s="67">
        <v>150</v>
      </c>
      <c r="I66" s="65">
        <v>0</v>
      </c>
      <c r="J66" s="131">
        <v>0</v>
      </c>
      <c r="K66" s="397">
        <v>2640</v>
      </c>
      <c r="L66" s="185" t="e">
        <f t="shared" si="8"/>
        <v>#VALUE!</v>
      </c>
      <c r="M66" s="186">
        <f t="shared" si="9"/>
        <v>0</v>
      </c>
      <c r="N66" s="188">
        <f t="shared" si="10"/>
        <v>396000</v>
      </c>
      <c r="O66" s="190">
        <f t="shared" si="11"/>
        <v>0</v>
      </c>
      <c r="P66" s="216">
        <f t="shared" si="12"/>
        <v>0</v>
      </c>
      <c r="Q66" s="833" t="s">
        <v>4236</v>
      </c>
      <c r="R66" s="940"/>
      <c r="S66" s="940"/>
      <c r="T66" s="941">
        <f t="shared" si="6"/>
        <v>150</v>
      </c>
      <c r="U66" s="943"/>
    </row>
    <row r="67" spans="1:21" ht="141.75">
      <c r="A67" s="453">
        <v>26</v>
      </c>
      <c r="B67" s="427" t="s">
        <v>739</v>
      </c>
      <c r="C67" s="427" t="s">
        <v>740</v>
      </c>
      <c r="D67" s="64">
        <f t="shared" si="7"/>
        <v>15</v>
      </c>
      <c r="E67" s="750" t="s">
        <v>126</v>
      </c>
      <c r="F67" s="67" t="s">
        <v>778</v>
      </c>
      <c r="G67" s="67">
        <v>0</v>
      </c>
      <c r="H67" s="67">
        <v>15</v>
      </c>
      <c r="I67" s="65">
        <v>0</v>
      </c>
      <c r="J67" s="131">
        <v>0</v>
      </c>
      <c r="K67" s="397">
        <v>35200</v>
      </c>
      <c r="L67" s="185" t="e">
        <f t="shared" si="8"/>
        <v>#VALUE!</v>
      </c>
      <c r="M67" s="186">
        <f t="shared" si="9"/>
        <v>0</v>
      </c>
      <c r="N67" s="188">
        <f t="shared" si="10"/>
        <v>528000</v>
      </c>
      <c r="O67" s="190">
        <f t="shared" si="11"/>
        <v>0</v>
      </c>
      <c r="P67" s="216">
        <f t="shared" si="12"/>
        <v>0</v>
      </c>
      <c r="Q67" s="833" t="s">
        <v>4236</v>
      </c>
      <c r="R67" s="940"/>
      <c r="S67" s="940"/>
      <c r="T67" s="941">
        <f t="shared" si="6"/>
        <v>15</v>
      </c>
      <c r="U67" s="943"/>
    </row>
    <row r="68" spans="1:21" ht="173.25">
      <c r="A68" s="453">
        <v>27</v>
      </c>
      <c r="B68" s="427" t="s">
        <v>741</v>
      </c>
      <c r="C68" s="427" t="s">
        <v>742</v>
      </c>
      <c r="D68" s="64">
        <f t="shared" si="7"/>
        <v>70</v>
      </c>
      <c r="E68" s="750" t="s">
        <v>126</v>
      </c>
      <c r="F68" s="67" t="s">
        <v>780</v>
      </c>
      <c r="G68" s="67">
        <v>0</v>
      </c>
      <c r="H68" s="67">
        <v>70</v>
      </c>
      <c r="I68" s="65">
        <v>0</v>
      </c>
      <c r="J68" s="131">
        <v>0</v>
      </c>
      <c r="K68" s="397">
        <v>2200</v>
      </c>
      <c r="L68" s="185" t="e">
        <f t="shared" si="8"/>
        <v>#VALUE!</v>
      </c>
      <c r="M68" s="186">
        <f t="shared" si="9"/>
        <v>0</v>
      </c>
      <c r="N68" s="188">
        <f t="shared" si="10"/>
        <v>154000</v>
      </c>
      <c r="O68" s="190">
        <f t="shared" si="11"/>
        <v>0</v>
      </c>
      <c r="P68" s="216">
        <f t="shared" si="12"/>
        <v>0</v>
      </c>
      <c r="Q68" s="833" t="s">
        <v>4236</v>
      </c>
      <c r="R68" s="940"/>
      <c r="S68" s="940"/>
      <c r="T68" s="941">
        <f t="shared" si="6"/>
        <v>70</v>
      </c>
      <c r="U68" s="943"/>
    </row>
    <row r="69" spans="1:21" ht="267.75">
      <c r="A69" s="453">
        <v>28</v>
      </c>
      <c r="B69" s="427" t="s">
        <v>743</v>
      </c>
      <c r="C69" s="427" t="s">
        <v>744</v>
      </c>
      <c r="D69" s="64">
        <f t="shared" si="7"/>
        <v>14</v>
      </c>
      <c r="E69" s="750" t="s">
        <v>126</v>
      </c>
      <c r="F69" s="67" t="s">
        <v>780</v>
      </c>
      <c r="G69" s="67">
        <v>0</v>
      </c>
      <c r="H69" s="67">
        <v>14</v>
      </c>
      <c r="I69" s="65">
        <v>0</v>
      </c>
      <c r="J69" s="131">
        <v>0</v>
      </c>
      <c r="K69" s="397">
        <v>77000</v>
      </c>
      <c r="L69" s="185" t="e">
        <f t="shared" si="8"/>
        <v>#VALUE!</v>
      </c>
      <c r="M69" s="186">
        <f t="shared" si="9"/>
        <v>0</v>
      </c>
      <c r="N69" s="188">
        <f t="shared" si="10"/>
        <v>1078000</v>
      </c>
      <c r="O69" s="190">
        <f t="shared" si="11"/>
        <v>0</v>
      </c>
      <c r="P69" s="216">
        <f t="shared" si="12"/>
        <v>0</v>
      </c>
      <c r="Q69" s="833" t="s">
        <v>4236</v>
      </c>
      <c r="R69" s="940"/>
      <c r="S69" s="940"/>
      <c r="T69" s="941">
        <f t="shared" ref="T69:T87" si="13">D69-S69</f>
        <v>14</v>
      </c>
      <c r="U69" s="943"/>
    </row>
    <row r="70" spans="1:21" ht="78.75">
      <c r="A70" s="453">
        <v>29</v>
      </c>
      <c r="B70" s="427" t="s">
        <v>745</v>
      </c>
      <c r="C70" s="427" t="s">
        <v>746</v>
      </c>
      <c r="D70" s="64">
        <f t="shared" si="7"/>
        <v>140</v>
      </c>
      <c r="E70" s="750" t="s">
        <v>126</v>
      </c>
      <c r="F70" s="67" t="s">
        <v>780</v>
      </c>
      <c r="G70" s="67">
        <v>0</v>
      </c>
      <c r="H70" s="67">
        <v>140</v>
      </c>
      <c r="I70" s="65">
        <v>0</v>
      </c>
      <c r="J70" s="131">
        <v>0</v>
      </c>
      <c r="K70" s="397">
        <v>3300</v>
      </c>
      <c r="L70" s="185" t="e">
        <f t="shared" si="8"/>
        <v>#VALUE!</v>
      </c>
      <c r="M70" s="186">
        <f t="shared" si="9"/>
        <v>0</v>
      </c>
      <c r="N70" s="188">
        <f t="shared" si="10"/>
        <v>462000</v>
      </c>
      <c r="O70" s="190">
        <f t="shared" si="11"/>
        <v>0</v>
      </c>
      <c r="P70" s="216">
        <f t="shared" si="12"/>
        <v>0</v>
      </c>
      <c r="Q70" s="833" t="s">
        <v>4236</v>
      </c>
      <c r="R70" s="940"/>
      <c r="S70" s="940"/>
      <c r="T70" s="941">
        <f t="shared" si="13"/>
        <v>140</v>
      </c>
      <c r="U70" s="943"/>
    </row>
    <row r="71" spans="1:21" ht="157.5">
      <c r="A71" s="453">
        <v>30</v>
      </c>
      <c r="B71" s="427" t="s">
        <v>747</v>
      </c>
      <c r="C71" s="427" t="s">
        <v>748</v>
      </c>
      <c r="D71" s="64">
        <f t="shared" si="7"/>
        <v>18</v>
      </c>
      <c r="E71" s="750" t="s">
        <v>126</v>
      </c>
      <c r="F71" s="67" t="s">
        <v>780</v>
      </c>
      <c r="G71" s="67">
        <v>0</v>
      </c>
      <c r="H71" s="67">
        <v>18</v>
      </c>
      <c r="I71" s="65">
        <v>0</v>
      </c>
      <c r="J71" s="131">
        <v>0</v>
      </c>
      <c r="K71" s="397">
        <v>51700</v>
      </c>
      <c r="L71" s="185" t="e">
        <f t="shared" si="8"/>
        <v>#VALUE!</v>
      </c>
      <c r="M71" s="186">
        <f t="shared" si="9"/>
        <v>0</v>
      </c>
      <c r="N71" s="188">
        <f t="shared" si="10"/>
        <v>930600</v>
      </c>
      <c r="O71" s="190">
        <f t="shared" si="11"/>
        <v>0</v>
      </c>
      <c r="P71" s="216">
        <f t="shared" si="12"/>
        <v>0</v>
      </c>
      <c r="Q71" s="833" t="s">
        <v>4236</v>
      </c>
      <c r="R71" s="940"/>
      <c r="S71" s="940"/>
      <c r="T71" s="941">
        <f t="shared" si="13"/>
        <v>18</v>
      </c>
      <c r="U71" s="943"/>
    </row>
    <row r="72" spans="1:21" ht="31.5">
      <c r="A72" s="453">
        <v>31</v>
      </c>
      <c r="B72" s="101" t="s">
        <v>749</v>
      </c>
      <c r="C72" s="101" t="s">
        <v>750</v>
      </c>
      <c r="D72" s="64">
        <f t="shared" si="7"/>
        <v>10</v>
      </c>
      <c r="E72" s="101" t="s">
        <v>126</v>
      </c>
      <c r="F72" s="67" t="s">
        <v>781</v>
      </c>
      <c r="G72" s="67">
        <v>0</v>
      </c>
      <c r="H72" s="102">
        <v>10</v>
      </c>
      <c r="I72" s="65">
        <v>0</v>
      </c>
      <c r="J72" s="131">
        <v>0</v>
      </c>
      <c r="K72" s="397">
        <v>121000</v>
      </c>
      <c r="L72" s="185" t="e">
        <f t="shared" si="8"/>
        <v>#VALUE!</v>
      </c>
      <c r="M72" s="186">
        <f t="shared" si="9"/>
        <v>0</v>
      </c>
      <c r="N72" s="188">
        <f t="shared" si="10"/>
        <v>1210000</v>
      </c>
      <c r="O72" s="190">
        <f t="shared" si="11"/>
        <v>0</v>
      </c>
      <c r="P72" s="216">
        <f t="shared" si="12"/>
        <v>0</v>
      </c>
      <c r="Q72" s="833" t="s">
        <v>4236</v>
      </c>
      <c r="R72" s="940"/>
      <c r="S72" s="940"/>
      <c r="T72" s="941">
        <f t="shared" si="13"/>
        <v>10</v>
      </c>
      <c r="U72" s="943"/>
    </row>
    <row r="73" spans="1:21" ht="299.25">
      <c r="A73" s="453">
        <v>32</v>
      </c>
      <c r="B73" s="427" t="s">
        <v>751</v>
      </c>
      <c r="C73" s="427" t="s">
        <v>752</v>
      </c>
      <c r="D73" s="64">
        <f t="shared" si="7"/>
        <v>8</v>
      </c>
      <c r="E73" s="750" t="s">
        <v>126</v>
      </c>
      <c r="F73" s="67" t="s">
        <v>780</v>
      </c>
      <c r="G73" s="67">
        <v>0</v>
      </c>
      <c r="H73" s="67">
        <v>8</v>
      </c>
      <c r="I73" s="65">
        <v>0</v>
      </c>
      <c r="J73" s="131">
        <v>0</v>
      </c>
      <c r="K73" s="397">
        <v>77000</v>
      </c>
      <c r="L73" s="185" t="e">
        <f t="shared" si="8"/>
        <v>#VALUE!</v>
      </c>
      <c r="M73" s="186">
        <f t="shared" si="9"/>
        <v>0</v>
      </c>
      <c r="N73" s="188">
        <f t="shared" si="10"/>
        <v>616000</v>
      </c>
      <c r="O73" s="190">
        <f t="shared" si="11"/>
        <v>0</v>
      </c>
      <c r="P73" s="216">
        <f t="shared" si="12"/>
        <v>0</v>
      </c>
      <c r="Q73" s="833" t="s">
        <v>4236</v>
      </c>
      <c r="R73" s="940"/>
      <c r="S73" s="940"/>
      <c r="T73" s="941">
        <f t="shared" si="13"/>
        <v>8</v>
      </c>
      <c r="U73" s="943"/>
    </row>
    <row r="74" spans="1:21" ht="94.5">
      <c r="A74" s="453">
        <v>33</v>
      </c>
      <c r="B74" s="427" t="s">
        <v>753</v>
      </c>
      <c r="C74" s="427" t="s">
        <v>754</v>
      </c>
      <c r="D74" s="64">
        <f t="shared" si="7"/>
        <v>70</v>
      </c>
      <c r="E74" s="750" t="s">
        <v>126</v>
      </c>
      <c r="F74" s="67" t="s">
        <v>782</v>
      </c>
      <c r="G74" s="67">
        <v>0</v>
      </c>
      <c r="H74" s="67">
        <v>70</v>
      </c>
      <c r="I74" s="65">
        <v>0</v>
      </c>
      <c r="J74" s="131">
        <v>0</v>
      </c>
      <c r="K74" s="397">
        <v>5500</v>
      </c>
      <c r="L74" s="185" t="e">
        <f t="shared" si="8"/>
        <v>#VALUE!</v>
      </c>
      <c r="M74" s="186">
        <f t="shared" si="9"/>
        <v>0</v>
      </c>
      <c r="N74" s="188">
        <f t="shared" si="10"/>
        <v>385000</v>
      </c>
      <c r="O74" s="190">
        <f t="shared" si="11"/>
        <v>0</v>
      </c>
      <c r="P74" s="216">
        <f t="shared" si="12"/>
        <v>0</v>
      </c>
      <c r="Q74" s="833" t="s">
        <v>4236</v>
      </c>
      <c r="R74" s="940"/>
      <c r="S74" s="940"/>
      <c r="T74" s="941">
        <f t="shared" si="13"/>
        <v>70</v>
      </c>
      <c r="U74" s="943"/>
    </row>
    <row r="75" spans="1:21" ht="47.25">
      <c r="A75" s="453">
        <v>34</v>
      </c>
      <c r="B75" s="67" t="s">
        <v>755</v>
      </c>
      <c r="C75" s="427" t="s">
        <v>756</v>
      </c>
      <c r="D75" s="64">
        <f t="shared" si="7"/>
        <v>200</v>
      </c>
      <c r="E75" s="750" t="s">
        <v>126</v>
      </c>
      <c r="F75" s="67" t="s">
        <v>783</v>
      </c>
      <c r="G75" s="67">
        <v>0</v>
      </c>
      <c r="H75" s="67">
        <v>200</v>
      </c>
      <c r="I75" s="65">
        <v>0</v>
      </c>
      <c r="J75" s="131">
        <v>0</v>
      </c>
      <c r="K75" s="397">
        <v>253000</v>
      </c>
      <c r="L75" s="185" t="e">
        <f t="shared" si="8"/>
        <v>#VALUE!</v>
      </c>
      <c r="M75" s="186">
        <f t="shared" si="9"/>
        <v>0</v>
      </c>
      <c r="N75" s="188">
        <f t="shared" si="10"/>
        <v>50600000</v>
      </c>
      <c r="O75" s="190">
        <f t="shared" si="11"/>
        <v>0</v>
      </c>
      <c r="P75" s="216">
        <f t="shared" si="12"/>
        <v>0</v>
      </c>
      <c r="Q75" s="833" t="s">
        <v>4236</v>
      </c>
      <c r="R75" s="940"/>
      <c r="S75" s="940"/>
      <c r="T75" s="941">
        <f t="shared" si="13"/>
        <v>200</v>
      </c>
      <c r="U75" s="943"/>
    </row>
    <row r="76" spans="1:21" ht="141.75">
      <c r="A76" s="453">
        <v>35</v>
      </c>
      <c r="B76" s="67" t="s">
        <v>757</v>
      </c>
      <c r="C76" s="427" t="s">
        <v>758</v>
      </c>
      <c r="D76" s="64">
        <f t="shared" si="7"/>
        <v>50</v>
      </c>
      <c r="E76" s="750" t="s">
        <v>126</v>
      </c>
      <c r="F76" s="67" t="s">
        <v>784</v>
      </c>
      <c r="G76" s="67">
        <v>0</v>
      </c>
      <c r="H76" s="67">
        <v>50</v>
      </c>
      <c r="I76" s="65">
        <v>0</v>
      </c>
      <c r="J76" s="131">
        <v>0</v>
      </c>
      <c r="K76" s="397">
        <v>275000</v>
      </c>
      <c r="L76" s="185" t="e">
        <f t="shared" si="8"/>
        <v>#VALUE!</v>
      </c>
      <c r="M76" s="186">
        <f t="shared" si="9"/>
        <v>0</v>
      </c>
      <c r="N76" s="188">
        <f t="shared" si="10"/>
        <v>13750000</v>
      </c>
      <c r="O76" s="190">
        <f t="shared" si="11"/>
        <v>0</v>
      </c>
      <c r="P76" s="216">
        <f t="shared" si="12"/>
        <v>0</v>
      </c>
      <c r="Q76" s="833" t="s">
        <v>4236</v>
      </c>
      <c r="R76" s="940"/>
      <c r="S76" s="940"/>
      <c r="T76" s="941">
        <f t="shared" si="13"/>
        <v>50</v>
      </c>
      <c r="U76" s="943"/>
    </row>
    <row r="77" spans="1:21" ht="94.5">
      <c r="A77" s="453">
        <v>36</v>
      </c>
      <c r="B77" s="67" t="s">
        <v>759</v>
      </c>
      <c r="C77" s="427" t="s">
        <v>760</v>
      </c>
      <c r="D77" s="64">
        <f t="shared" si="7"/>
        <v>12</v>
      </c>
      <c r="E77" s="750" t="s">
        <v>126</v>
      </c>
      <c r="F77" s="67" t="s">
        <v>785</v>
      </c>
      <c r="G77" s="67">
        <v>0</v>
      </c>
      <c r="H77" s="427">
        <v>12</v>
      </c>
      <c r="I77" s="65">
        <v>0</v>
      </c>
      <c r="J77" s="131">
        <v>0</v>
      </c>
      <c r="K77" s="397">
        <v>264000</v>
      </c>
      <c r="L77" s="185" t="e">
        <f t="shared" si="8"/>
        <v>#VALUE!</v>
      </c>
      <c r="M77" s="186">
        <f t="shared" si="9"/>
        <v>0</v>
      </c>
      <c r="N77" s="188">
        <f t="shared" si="10"/>
        <v>3168000</v>
      </c>
      <c r="O77" s="190">
        <f t="shared" si="11"/>
        <v>0</v>
      </c>
      <c r="P77" s="216">
        <f t="shared" si="12"/>
        <v>0</v>
      </c>
      <c r="Q77" s="833" t="s">
        <v>4236</v>
      </c>
      <c r="R77" s="940"/>
      <c r="S77" s="940"/>
      <c r="T77" s="941">
        <f t="shared" si="13"/>
        <v>12</v>
      </c>
      <c r="U77" s="943"/>
    </row>
    <row r="78" spans="1:21" ht="110.25">
      <c r="A78" s="453">
        <v>37</v>
      </c>
      <c r="B78" s="103" t="s">
        <v>761</v>
      </c>
      <c r="C78" s="67" t="s">
        <v>762</v>
      </c>
      <c r="D78" s="64">
        <f t="shared" si="7"/>
        <v>10</v>
      </c>
      <c r="E78" s="79" t="s">
        <v>126</v>
      </c>
      <c r="F78" s="67" t="s">
        <v>786</v>
      </c>
      <c r="G78" s="67">
        <v>0</v>
      </c>
      <c r="H78" s="67">
        <v>10</v>
      </c>
      <c r="I78" s="65">
        <v>0</v>
      </c>
      <c r="J78" s="131">
        <v>0</v>
      </c>
      <c r="K78" s="397">
        <v>319000</v>
      </c>
      <c r="L78" s="185" t="e">
        <f t="shared" si="8"/>
        <v>#VALUE!</v>
      </c>
      <c r="M78" s="186">
        <f t="shared" si="9"/>
        <v>0</v>
      </c>
      <c r="N78" s="188">
        <f t="shared" si="10"/>
        <v>3190000</v>
      </c>
      <c r="O78" s="190">
        <f t="shared" si="11"/>
        <v>0</v>
      </c>
      <c r="P78" s="216">
        <f t="shared" si="12"/>
        <v>0</v>
      </c>
      <c r="Q78" s="833" t="s">
        <v>4236</v>
      </c>
      <c r="R78" s="940"/>
      <c r="S78" s="940"/>
      <c r="T78" s="941">
        <f t="shared" si="13"/>
        <v>10</v>
      </c>
      <c r="U78" s="943"/>
    </row>
    <row r="79" spans="1:21" ht="157.5">
      <c r="A79" s="453">
        <v>38</v>
      </c>
      <c r="B79" s="103" t="s">
        <v>763</v>
      </c>
      <c r="C79" s="67" t="s">
        <v>764</v>
      </c>
      <c r="D79" s="64">
        <f t="shared" si="7"/>
        <v>4</v>
      </c>
      <c r="E79" s="79" t="s">
        <v>126</v>
      </c>
      <c r="F79" s="67" t="s">
        <v>787</v>
      </c>
      <c r="G79" s="67">
        <v>0</v>
      </c>
      <c r="H79" s="67">
        <v>4</v>
      </c>
      <c r="I79" s="65">
        <v>0</v>
      </c>
      <c r="J79" s="131">
        <v>0</v>
      </c>
      <c r="K79" s="397">
        <v>4950000</v>
      </c>
      <c r="L79" s="185" t="e">
        <f t="shared" si="8"/>
        <v>#VALUE!</v>
      </c>
      <c r="M79" s="186">
        <f t="shared" si="9"/>
        <v>0</v>
      </c>
      <c r="N79" s="188">
        <f t="shared" si="10"/>
        <v>19800000</v>
      </c>
      <c r="O79" s="190">
        <f t="shared" si="11"/>
        <v>0</v>
      </c>
      <c r="P79" s="216">
        <f t="shared" si="12"/>
        <v>0</v>
      </c>
      <c r="Q79" s="833" t="s">
        <v>4236</v>
      </c>
      <c r="R79" s="940"/>
      <c r="S79" s="940"/>
      <c r="T79" s="941">
        <f t="shared" si="13"/>
        <v>4</v>
      </c>
      <c r="U79" s="943"/>
    </row>
    <row r="80" spans="1:21" ht="47.25">
      <c r="A80" s="453">
        <v>39</v>
      </c>
      <c r="B80" s="103" t="s">
        <v>765</v>
      </c>
      <c r="C80" s="67" t="s">
        <v>766</v>
      </c>
      <c r="D80" s="64">
        <f t="shared" si="7"/>
        <v>4</v>
      </c>
      <c r="E80" s="79" t="s">
        <v>126</v>
      </c>
      <c r="F80" s="67" t="s">
        <v>788</v>
      </c>
      <c r="G80" s="67">
        <v>0</v>
      </c>
      <c r="H80" s="67">
        <v>4</v>
      </c>
      <c r="I80" s="65">
        <v>0</v>
      </c>
      <c r="J80" s="131">
        <v>0</v>
      </c>
      <c r="K80" s="217">
        <v>9300000</v>
      </c>
      <c r="L80" s="185" t="e">
        <f t="shared" si="8"/>
        <v>#VALUE!</v>
      </c>
      <c r="M80" s="395">
        <f t="shared" si="9"/>
        <v>0</v>
      </c>
      <c r="N80" s="395">
        <f t="shared" si="10"/>
        <v>37200000</v>
      </c>
      <c r="O80" s="190">
        <f t="shared" si="11"/>
        <v>0</v>
      </c>
      <c r="P80" s="395">
        <f t="shared" si="12"/>
        <v>0</v>
      </c>
      <c r="Q80" s="833" t="s">
        <v>4236</v>
      </c>
      <c r="R80" s="940"/>
      <c r="S80" s="940"/>
      <c r="T80" s="941">
        <f t="shared" si="13"/>
        <v>4</v>
      </c>
      <c r="U80" s="943"/>
    </row>
    <row r="81" spans="1:21" ht="267.75">
      <c r="A81" s="453">
        <v>40</v>
      </c>
      <c r="B81" s="103" t="s">
        <v>767</v>
      </c>
      <c r="C81" s="67" t="s">
        <v>768</v>
      </c>
      <c r="D81" s="64">
        <f t="shared" si="7"/>
        <v>6</v>
      </c>
      <c r="E81" s="79" t="s">
        <v>126</v>
      </c>
      <c r="F81" s="67" t="s">
        <v>789</v>
      </c>
      <c r="G81" s="67">
        <v>0</v>
      </c>
      <c r="H81" s="67">
        <v>6</v>
      </c>
      <c r="I81" s="65">
        <v>0</v>
      </c>
      <c r="J81" s="131">
        <v>0</v>
      </c>
      <c r="K81" s="397">
        <v>5500000</v>
      </c>
      <c r="L81" s="185" t="e">
        <f t="shared" si="8"/>
        <v>#VALUE!</v>
      </c>
      <c r="M81" s="186">
        <f t="shared" si="9"/>
        <v>0</v>
      </c>
      <c r="N81" s="188">
        <f t="shared" si="10"/>
        <v>33000000</v>
      </c>
      <c r="O81" s="190">
        <f t="shared" si="11"/>
        <v>0</v>
      </c>
      <c r="P81" s="216">
        <f t="shared" si="12"/>
        <v>0</v>
      </c>
      <c r="Q81" s="887" t="s">
        <v>4227</v>
      </c>
      <c r="R81" s="940"/>
      <c r="S81" s="940"/>
      <c r="T81" s="941">
        <f t="shared" si="13"/>
        <v>6</v>
      </c>
      <c r="U81" s="943"/>
    </row>
    <row r="82" spans="1:21" ht="173.25">
      <c r="A82" s="453">
        <v>41</v>
      </c>
      <c r="B82" s="103" t="s">
        <v>769</v>
      </c>
      <c r="C82" s="67" t="s">
        <v>770</v>
      </c>
      <c r="D82" s="64">
        <f t="shared" si="7"/>
        <v>4</v>
      </c>
      <c r="E82" s="79" t="s">
        <v>126</v>
      </c>
      <c r="F82" s="67" t="s">
        <v>787</v>
      </c>
      <c r="G82" s="67">
        <v>0</v>
      </c>
      <c r="H82" s="65">
        <v>4</v>
      </c>
      <c r="I82" s="65">
        <v>0</v>
      </c>
      <c r="J82" s="131">
        <v>0</v>
      </c>
      <c r="K82" s="397">
        <v>1980000</v>
      </c>
      <c r="L82" s="185" t="e">
        <f t="shared" si="8"/>
        <v>#VALUE!</v>
      </c>
      <c r="M82" s="186">
        <f t="shared" si="9"/>
        <v>0</v>
      </c>
      <c r="N82" s="188">
        <f t="shared" si="10"/>
        <v>7920000</v>
      </c>
      <c r="O82" s="190">
        <f t="shared" si="11"/>
        <v>0</v>
      </c>
      <c r="P82" s="216">
        <f t="shared" si="12"/>
        <v>0</v>
      </c>
      <c r="Q82" s="833" t="s">
        <v>4236</v>
      </c>
      <c r="R82" s="940"/>
      <c r="S82" s="940"/>
      <c r="T82" s="941">
        <f t="shared" si="13"/>
        <v>4</v>
      </c>
      <c r="U82" s="943"/>
    </row>
    <row r="83" spans="1:21" ht="409.5">
      <c r="A83" s="453">
        <v>42</v>
      </c>
      <c r="B83" s="103" t="s">
        <v>771</v>
      </c>
      <c r="C83" s="67" t="s">
        <v>2712</v>
      </c>
      <c r="D83" s="64">
        <f t="shared" si="7"/>
        <v>3</v>
      </c>
      <c r="E83" s="79" t="s">
        <v>126</v>
      </c>
      <c r="F83" s="67" t="s">
        <v>787</v>
      </c>
      <c r="G83" s="67">
        <v>0</v>
      </c>
      <c r="H83" s="65">
        <v>3</v>
      </c>
      <c r="I83" s="65">
        <v>0</v>
      </c>
      <c r="J83" s="131">
        <v>0</v>
      </c>
      <c r="K83" s="397">
        <v>1210000</v>
      </c>
      <c r="L83" s="185" t="e">
        <f t="shared" si="8"/>
        <v>#VALUE!</v>
      </c>
      <c r="M83" s="186">
        <f t="shared" si="9"/>
        <v>0</v>
      </c>
      <c r="N83" s="188">
        <f t="shared" si="10"/>
        <v>3630000</v>
      </c>
      <c r="O83" s="190">
        <f t="shared" si="11"/>
        <v>0</v>
      </c>
      <c r="P83" s="216">
        <f t="shared" si="12"/>
        <v>0</v>
      </c>
      <c r="Q83" s="833" t="s">
        <v>4236</v>
      </c>
      <c r="R83" s="940"/>
      <c r="S83" s="940"/>
      <c r="T83" s="941">
        <f t="shared" si="13"/>
        <v>3</v>
      </c>
      <c r="U83" s="943"/>
    </row>
    <row r="84" spans="1:21" ht="189">
      <c r="A84" s="453">
        <v>43</v>
      </c>
      <c r="B84" s="103" t="s">
        <v>772</v>
      </c>
      <c r="C84" s="67" t="s">
        <v>2713</v>
      </c>
      <c r="D84" s="64">
        <f t="shared" si="7"/>
        <v>2</v>
      </c>
      <c r="E84" s="79" t="s">
        <v>126</v>
      </c>
      <c r="F84" s="67" t="s">
        <v>787</v>
      </c>
      <c r="G84" s="67">
        <v>0</v>
      </c>
      <c r="H84" s="65">
        <v>2</v>
      </c>
      <c r="I84" s="65">
        <v>0</v>
      </c>
      <c r="J84" s="131">
        <v>0</v>
      </c>
      <c r="K84" s="397">
        <v>5830000</v>
      </c>
      <c r="L84" s="185" t="e">
        <f t="shared" si="8"/>
        <v>#VALUE!</v>
      </c>
      <c r="M84" s="186">
        <f t="shared" si="9"/>
        <v>0</v>
      </c>
      <c r="N84" s="188">
        <f t="shared" si="10"/>
        <v>11660000</v>
      </c>
      <c r="O84" s="190">
        <f t="shared" si="11"/>
        <v>0</v>
      </c>
      <c r="P84" s="216">
        <f t="shared" si="12"/>
        <v>0</v>
      </c>
      <c r="Q84" s="887" t="s">
        <v>4227</v>
      </c>
      <c r="R84" s="940"/>
      <c r="S84" s="940"/>
      <c r="T84" s="941">
        <f t="shared" si="13"/>
        <v>2</v>
      </c>
      <c r="U84" s="943"/>
    </row>
    <row r="85" spans="1:21" ht="267.75">
      <c r="A85" s="453">
        <v>44</v>
      </c>
      <c r="B85" s="427" t="s">
        <v>773</v>
      </c>
      <c r="C85" s="427" t="s">
        <v>774</v>
      </c>
      <c r="D85" s="64">
        <f t="shared" si="7"/>
        <v>8</v>
      </c>
      <c r="E85" s="452" t="s">
        <v>286</v>
      </c>
      <c r="F85" s="67" t="s">
        <v>790</v>
      </c>
      <c r="G85" s="67">
        <v>0</v>
      </c>
      <c r="H85" s="65">
        <v>4</v>
      </c>
      <c r="I85" s="65">
        <v>4</v>
      </c>
      <c r="J85" s="131">
        <v>0</v>
      </c>
      <c r="K85" s="397">
        <v>6270000</v>
      </c>
      <c r="L85" s="185" t="e">
        <f t="shared" si="8"/>
        <v>#VALUE!</v>
      </c>
      <c r="M85" s="186">
        <f t="shared" si="9"/>
        <v>0</v>
      </c>
      <c r="N85" s="188">
        <f t="shared" si="10"/>
        <v>25080000</v>
      </c>
      <c r="O85" s="190">
        <f t="shared" si="11"/>
        <v>25080000</v>
      </c>
      <c r="P85" s="216">
        <f t="shared" si="12"/>
        <v>0</v>
      </c>
      <c r="Q85" s="887" t="s">
        <v>4227</v>
      </c>
      <c r="R85" s="940"/>
      <c r="S85" s="940"/>
      <c r="T85" s="941">
        <f t="shared" si="13"/>
        <v>8</v>
      </c>
      <c r="U85" s="943"/>
    </row>
    <row r="86" spans="1:21" ht="31.5">
      <c r="A86" s="453">
        <v>45</v>
      </c>
      <c r="B86" s="427" t="s">
        <v>775</v>
      </c>
      <c r="C86" s="427" t="s">
        <v>776</v>
      </c>
      <c r="D86" s="64">
        <f t="shared" si="7"/>
        <v>10</v>
      </c>
      <c r="E86" s="452" t="s">
        <v>286</v>
      </c>
      <c r="F86" s="67" t="s">
        <v>780</v>
      </c>
      <c r="G86" s="67">
        <v>0</v>
      </c>
      <c r="H86" s="65">
        <v>10</v>
      </c>
      <c r="I86" s="65">
        <v>0</v>
      </c>
      <c r="J86" s="131">
        <v>0</v>
      </c>
      <c r="K86" s="397">
        <v>7700</v>
      </c>
      <c r="L86" s="185" t="e">
        <f t="shared" si="8"/>
        <v>#VALUE!</v>
      </c>
      <c r="M86" s="186">
        <f t="shared" si="9"/>
        <v>0</v>
      </c>
      <c r="N86" s="188">
        <f t="shared" si="10"/>
        <v>77000</v>
      </c>
      <c r="O86" s="190">
        <f t="shared" si="11"/>
        <v>0</v>
      </c>
      <c r="P86" s="216">
        <f t="shared" si="12"/>
        <v>0</v>
      </c>
      <c r="Q86" s="833" t="s">
        <v>4236</v>
      </c>
      <c r="R86" s="940"/>
      <c r="S86" s="940"/>
      <c r="T86" s="941">
        <f t="shared" si="13"/>
        <v>10</v>
      </c>
      <c r="U86" s="943"/>
    </row>
    <row r="87" spans="1:21">
      <c r="A87" s="383"/>
      <c r="B87" s="383"/>
      <c r="C87" s="383"/>
      <c r="D87" s="383"/>
      <c r="E87" s="383"/>
      <c r="F87" s="383"/>
      <c r="G87" s="383"/>
      <c r="H87" s="383"/>
      <c r="I87" s="383"/>
      <c r="J87" s="383"/>
      <c r="K87" s="383"/>
      <c r="L87" s="440" t="e">
        <f>SUM(L42:L86)</f>
        <v>#VALUE!</v>
      </c>
      <c r="M87" s="383"/>
      <c r="N87" s="440">
        <f>SUM(N42:N86)</f>
        <v>229681850</v>
      </c>
      <c r="O87" s="440">
        <f>SUM(O42:O86)</f>
        <v>29480000</v>
      </c>
      <c r="P87" s="383"/>
      <c r="R87" s="940"/>
      <c r="S87" s="940"/>
      <c r="T87" s="941">
        <f t="shared" si="13"/>
        <v>0</v>
      </c>
      <c r="U87" s="943"/>
    </row>
    <row r="88" spans="1:21" ht="75" customHeight="1">
      <c r="L88" s="458" t="e">
        <f>SUM(L87,L38)</f>
        <v>#VALUE!</v>
      </c>
    </row>
    <row r="89" spans="1:21">
      <c r="N89" s="458"/>
    </row>
  </sheetData>
  <customSheetViews>
    <customSheetView guid="{750F99BE-5C19-4848-A09A-0E4FD0F9F8FC}" scale="70" topLeftCell="A45">
      <selection activeCell="A122" sqref="A122:P135"/>
      <pageMargins left="0.7" right="0.7" top="0.75" bottom="0.75" header="0.3" footer="0.3"/>
    </customSheetView>
  </customSheetViews>
  <mergeCells count="10">
    <mergeCell ref="G39:J39"/>
    <mergeCell ref="Q1:Q2"/>
    <mergeCell ref="A3:Q3"/>
    <mergeCell ref="A41:Q41"/>
    <mergeCell ref="Q39:Q40"/>
    <mergeCell ref="R1:R2"/>
    <mergeCell ref="S1:S2"/>
    <mergeCell ref="T1:T2"/>
    <mergeCell ref="U1:U2"/>
    <mergeCell ref="G1:J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AG165"/>
  <sheetViews>
    <sheetView zoomScale="70" zoomScaleNormal="70" workbookViewId="0">
      <selection activeCell="AD1" sqref="AD1:AG1048576"/>
    </sheetView>
  </sheetViews>
  <sheetFormatPr defaultRowHeight="18.75"/>
  <cols>
    <col min="1" max="1" width="6.140625" bestFit="1" customWidth="1"/>
    <col min="2" max="2" width="58.140625" style="703" customWidth="1"/>
    <col min="3" max="3" width="40.7109375" customWidth="1"/>
    <col min="4" max="4" width="12.85546875" style="93" bestFit="1" customWidth="1"/>
    <col min="5" max="5" width="20.7109375" bestFit="1" customWidth="1"/>
    <col min="6" max="6" width="7.140625" bestFit="1" customWidth="1"/>
    <col min="7" max="8" width="8.7109375" hidden="1" customWidth="1"/>
    <col min="9" max="10" width="8.7109375" bestFit="1" customWidth="1"/>
    <col min="11" max="11" width="15" hidden="1" customWidth="1"/>
    <col min="12" max="12" width="8.42578125" style="718" hidden="1" customWidth="1"/>
    <col min="13" max="14" width="8.5703125" style="705" hidden="1" customWidth="1"/>
    <col min="15" max="15" width="8.42578125" style="717" hidden="1" customWidth="1"/>
    <col min="16" max="16" width="15.7109375" style="717" hidden="1" customWidth="1"/>
    <col min="17" max="17" width="8.42578125" hidden="1" customWidth="1"/>
    <col min="18" max="18" width="8.140625" hidden="1" customWidth="1"/>
    <col min="19" max="19" width="10.7109375" style="705" hidden="1" customWidth="1"/>
    <col min="20" max="20" width="15" style="705" hidden="1" customWidth="1"/>
    <col min="21" max="21" width="13.85546875" style="705" hidden="1" customWidth="1"/>
    <col min="22" max="22" width="6.5703125" hidden="1" customWidth="1"/>
    <col min="23" max="23" width="16.5703125" style="730" hidden="1" customWidth="1"/>
    <col min="24" max="24" width="23.5703125" style="93" hidden="1" customWidth="1"/>
    <col min="25" max="28" width="18.42578125" hidden="1" customWidth="1"/>
    <col min="29" max="29" width="44.5703125" hidden="1" customWidth="1"/>
    <col min="30" max="30" width="14.28515625" hidden="1" customWidth="1"/>
    <col min="31" max="31" width="16.5703125" hidden="1" customWidth="1"/>
    <col min="32" max="32" width="0" hidden="1" customWidth="1"/>
    <col min="33" max="33" width="15.7109375" style="39" hidden="1" customWidth="1"/>
  </cols>
  <sheetData>
    <row r="1" spans="1:33">
      <c r="A1" s="1159" t="s">
        <v>595</v>
      </c>
      <c r="B1" s="1253" t="s">
        <v>4313</v>
      </c>
      <c r="C1" s="1159" t="s">
        <v>4329</v>
      </c>
      <c r="D1" s="1159" t="s">
        <v>1865</v>
      </c>
      <c r="E1" s="1159" t="s">
        <v>1</v>
      </c>
      <c r="F1" s="1159" t="s">
        <v>275</v>
      </c>
      <c r="G1" s="1159" t="s">
        <v>1866</v>
      </c>
      <c r="H1" s="1159"/>
      <c r="I1" s="1159"/>
      <c r="J1" s="1159"/>
      <c r="K1" s="707" t="s">
        <v>2083</v>
      </c>
      <c r="L1" s="1235" t="s">
        <v>2084</v>
      </c>
      <c r="M1" s="1235"/>
      <c r="N1" s="1235"/>
      <c r="O1" s="1252" t="s">
        <v>2085</v>
      </c>
      <c r="P1" s="1252"/>
      <c r="Q1" s="1252" t="s">
        <v>2086</v>
      </c>
      <c r="R1" s="1252"/>
      <c r="S1" s="1252"/>
      <c r="T1" s="1252" t="s">
        <v>2087</v>
      </c>
      <c r="U1" s="1252"/>
      <c r="V1" s="1252" t="s">
        <v>2088</v>
      </c>
      <c r="W1" s="1160" t="s">
        <v>2881</v>
      </c>
      <c r="X1" s="1159" t="s">
        <v>2882</v>
      </c>
      <c r="Y1" s="1159" t="s">
        <v>2883</v>
      </c>
      <c r="Z1" s="1159" t="s">
        <v>2884</v>
      </c>
      <c r="AA1" s="1159" t="s">
        <v>2885</v>
      </c>
      <c r="AB1" s="1159" t="s">
        <v>2886</v>
      </c>
      <c r="AC1" s="1250" t="s">
        <v>4230</v>
      </c>
      <c r="AD1" s="1119" t="s">
        <v>4700</v>
      </c>
      <c r="AE1" s="1119" t="s">
        <v>4701</v>
      </c>
      <c r="AF1" s="1119" t="s">
        <v>4702</v>
      </c>
      <c r="AG1" s="1148" t="s">
        <v>2882</v>
      </c>
    </row>
    <row r="2" spans="1:33" ht="56.25">
      <c r="A2" s="1159"/>
      <c r="B2" s="1253"/>
      <c r="C2" s="1159"/>
      <c r="D2" s="1159"/>
      <c r="E2" s="1159"/>
      <c r="F2" s="1159"/>
      <c r="G2" s="706" t="s">
        <v>3</v>
      </c>
      <c r="H2" s="706" t="s">
        <v>4</v>
      </c>
      <c r="I2" s="706" t="s">
        <v>5</v>
      </c>
      <c r="J2" s="706" t="s">
        <v>6</v>
      </c>
      <c r="K2" s="90" t="s">
        <v>4386</v>
      </c>
      <c r="L2" s="98" t="s">
        <v>2083</v>
      </c>
      <c r="M2" s="98" t="s">
        <v>2089</v>
      </c>
      <c r="N2" s="98" t="s">
        <v>2090</v>
      </c>
      <c r="O2" s="98" t="s">
        <v>2083</v>
      </c>
      <c r="P2" s="98" t="s">
        <v>2091</v>
      </c>
      <c r="Q2" s="98" t="s">
        <v>2092</v>
      </c>
      <c r="R2" s="98" t="s">
        <v>2093</v>
      </c>
      <c r="S2" s="98" t="s">
        <v>2094</v>
      </c>
      <c r="T2" s="98" t="s">
        <v>2083</v>
      </c>
      <c r="U2" s="98" t="s">
        <v>2095</v>
      </c>
      <c r="V2" s="1252"/>
      <c r="W2" s="1160"/>
      <c r="X2" s="1159"/>
      <c r="Y2" s="1159"/>
      <c r="Z2" s="1159"/>
      <c r="AA2" s="1159"/>
      <c r="AB2" s="1159"/>
      <c r="AC2" s="1250"/>
      <c r="AD2" s="1119"/>
      <c r="AE2" s="1119"/>
      <c r="AF2" s="1119"/>
      <c r="AG2" s="1148"/>
    </row>
    <row r="3" spans="1:33">
      <c r="A3" s="1251" t="s">
        <v>2710</v>
      </c>
      <c r="B3" s="1251"/>
      <c r="C3" s="1251"/>
      <c r="D3" s="1251"/>
      <c r="E3" s="1251"/>
      <c r="F3" s="1251"/>
      <c r="G3" s="1251"/>
      <c r="H3" s="1251"/>
      <c r="I3" s="1251"/>
      <c r="J3" s="1251"/>
      <c r="K3" s="1251"/>
      <c r="L3" s="1251"/>
      <c r="M3" s="1251"/>
      <c r="N3" s="1251"/>
      <c r="O3" s="1251"/>
      <c r="P3" s="1251"/>
      <c r="Q3" s="1251"/>
      <c r="R3" s="1251"/>
      <c r="S3" s="1251"/>
      <c r="T3" s="1251"/>
      <c r="U3" s="1251"/>
      <c r="V3" s="1251"/>
      <c r="W3" s="1251"/>
      <c r="X3" s="1251"/>
      <c r="Y3" s="1251"/>
      <c r="Z3" s="1251"/>
      <c r="AA3" s="1251"/>
      <c r="AB3" s="1251"/>
      <c r="AC3" s="1251"/>
      <c r="AD3" s="940"/>
      <c r="AE3" s="940"/>
      <c r="AF3" s="940"/>
      <c r="AG3" s="943"/>
    </row>
    <row r="4" spans="1:33" ht="30">
      <c r="A4" s="704">
        <v>1</v>
      </c>
      <c r="B4" s="702" t="s">
        <v>3280</v>
      </c>
      <c r="C4" s="709"/>
      <c r="D4" s="727">
        <f>K4+L4+M4+N4+O4+P4+Q4+R4+S4+T4+U4+V4</f>
        <v>100</v>
      </c>
      <c r="E4" s="704" t="s">
        <v>286</v>
      </c>
      <c r="F4" s="709"/>
      <c r="G4" s="709"/>
      <c r="H4" s="709"/>
      <c r="I4" s="709"/>
      <c r="J4" s="709"/>
      <c r="K4" s="701"/>
      <c r="L4" s="709">
        <v>20</v>
      </c>
      <c r="M4" s="709">
        <v>10</v>
      </c>
      <c r="N4" s="709">
        <v>10</v>
      </c>
      <c r="O4" s="719"/>
      <c r="P4" s="719">
        <v>10</v>
      </c>
      <c r="Q4" s="709"/>
      <c r="R4" s="709"/>
      <c r="S4" s="709"/>
      <c r="T4" s="709">
        <v>30</v>
      </c>
      <c r="U4" s="709">
        <v>20</v>
      </c>
      <c r="V4" s="709"/>
      <c r="W4" s="728">
        <v>20000</v>
      </c>
      <c r="X4" s="735">
        <f>W4*D4</f>
        <v>2000000</v>
      </c>
      <c r="Y4" s="709"/>
      <c r="Z4" s="709"/>
      <c r="AA4" s="709"/>
      <c r="AB4" s="709"/>
      <c r="AC4" s="699" t="s">
        <v>4236</v>
      </c>
      <c r="AD4" s="940" t="s">
        <v>4753</v>
      </c>
      <c r="AE4" s="940">
        <v>5</v>
      </c>
      <c r="AF4" s="940">
        <f>D4-AE4</f>
        <v>95</v>
      </c>
      <c r="AG4" s="943">
        <v>37800</v>
      </c>
    </row>
    <row r="5" spans="1:33">
      <c r="A5" s="701">
        <v>2</v>
      </c>
      <c r="B5" s="700" t="s">
        <v>4385</v>
      </c>
      <c r="C5" s="709" t="s">
        <v>4379</v>
      </c>
      <c r="D5" s="727">
        <f t="shared" ref="D5:D68" si="0">K5+L5+M5+N5+O5+P5+Q5+R5+S5+T5+U5+V5</f>
        <v>4</v>
      </c>
      <c r="E5" s="701"/>
      <c r="F5" s="709"/>
      <c r="G5" s="709"/>
      <c r="H5" s="709"/>
      <c r="I5" s="709"/>
      <c r="J5" s="709"/>
      <c r="K5" s="701"/>
      <c r="L5" s="709"/>
      <c r="M5" s="709"/>
      <c r="N5" s="709"/>
      <c r="O5" s="709"/>
      <c r="P5" s="709"/>
      <c r="Q5" s="709"/>
      <c r="R5" s="709"/>
      <c r="S5" s="709">
        <v>4</v>
      </c>
      <c r="T5" s="709"/>
      <c r="U5" s="709"/>
      <c r="V5" s="709"/>
      <c r="W5" s="728"/>
      <c r="X5" s="735">
        <f t="shared" ref="X5:X41" si="1">W5*D5</f>
        <v>0</v>
      </c>
      <c r="Y5" s="709"/>
      <c r="Z5" s="709"/>
      <c r="AA5" s="709"/>
      <c r="AB5" s="709"/>
      <c r="AC5" s="699" t="s">
        <v>4236</v>
      </c>
      <c r="AD5" s="940"/>
      <c r="AE5" s="940"/>
      <c r="AF5" s="940">
        <f t="shared" ref="AF5:AF68" si="2">D5-AE5</f>
        <v>4</v>
      </c>
      <c r="AG5" s="943"/>
    </row>
    <row r="6" spans="1:33">
      <c r="A6" s="701">
        <v>3</v>
      </c>
      <c r="B6" s="700" t="s">
        <v>4377</v>
      </c>
      <c r="C6" s="709" t="s">
        <v>4378</v>
      </c>
      <c r="D6" s="727">
        <f t="shared" si="0"/>
        <v>4</v>
      </c>
      <c r="E6" s="701" t="s">
        <v>127</v>
      </c>
      <c r="F6" s="709"/>
      <c r="G6" s="709"/>
      <c r="H6" s="709"/>
      <c r="I6" s="709"/>
      <c r="J6" s="709"/>
      <c r="K6" s="701"/>
      <c r="L6" s="709"/>
      <c r="M6" s="709"/>
      <c r="N6" s="709"/>
      <c r="O6" s="709"/>
      <c r="P6" s="709"/>
      <c r="Q6" s="709"/>
      <c r="R6" s="709"/>
      <c r="S6" s="709">
        <v>4</v>
      </c>
      <c r="T6" s="709"/>
      <c r="U6" s="709"/>
      <c r="V6" s="709"/>
      <c r="W6" s="728"/>
      <c r="X6" s="735">
        <f t="shared" si="1"/>
        <v>0</v>
      </c>
      <c r="Y6" s="709"/>
      <c r="Z6" s="709"/>
      <c r="AA6" s="709"/>
      <c r="AB6" s="709"/>
      <c r="AC6" s="699" t="s">
        <v>4236</v>
      </c>
      <c r="AD6" s="940"/>
      <c r="AE6" s="940"/>
      <c r="AF6" s="940">
        <f t="shared" si="2"/>
        <v>4</v>
      </c>
      <c r="AG6" s="943"/>
    </row>
    <row r="7" spans="1:33" ht="30">
      <c r="A7" s="704">
        <v>4</v>
      </c>
      <c r="B7" s="700" t="s">
        <v>4247</v>
      </c>
      <c r="C7" s="709"/>
      <c r="D7" s="727">
        <f t="shared" si="0"/>
        <v>850</v>
      </c>
      <c r="E7" s="701" t="s">
        <v>693</v>
      </c>
      <c r="F7" s="709"/>
      <c r="G7" s="709"/>
      <c r="H7" s="709"/>
      <c r="I7" s="709"/>
      <c r="J7" s="709"/>
      <c r="K7" s="701"/>
      <c r="L7" s="709">
        <v>100</v>
      </c>
      <c r="M7" s="709">
        <v>25</v>
      </c>
      <c r="N7" s="709">
        <v>25</v>
      </c>
      <c r="O7" s="709">
        <v>100</v>
      </c>
      <c r="P7" s="709">
        <v>100</v>
      </c>
      <c r="Q7" s="709"/>
      <c r="R7" s="709"/>
      <c r="S7" s="709"/>
      <c r="T7" s="709">
        <v>100</v>
      </c>
      <c r="U7" s="709">
        <v>400</v>
      </c>
      <c r="V7" s="709"/>
      <c r="W7" s="728">
        <v>25000</v>
      </c>
      <c r="X7" s="735">
        <f t="shared" si="1"/>
        <v>21250000</v>
      </c>
      <c r="Y7" s="709"/>
      <c r="Z7" s="709"/>
      <c r="AA7" s="709"/>
      <c r="AB7" s="709"/>
      <c r="AC7" s="699" t="s">
        <v>4236</v>
      </c>
      <c r="AD7" s="940" t="s">
        <v>4753</v>
      </c>
      <c r="AE7" s="940">
        <v>72</v>
      </c>
      <c r="AF7" s="940">
        <f t="shared" si="2"/>
        <v>778</v>
      </c>
      <c r="AG7" s="943">
        <v>604800</v>
      </c>
    </row>
    <row r="8" spans="1:33">
      <c r="A8" s="701">
        <v>5</v>
      </c>
      <c r="B8" s="702" t="s">
        <v>4286</v>
      </c>
      <c r="C8" s="98"/>
      <c r="D8" s="727">
        <f t="shared" si="0"/>
        <v>300</v>
      </c>
      <c r="E8" s="704" t="s">
        <v>693</v>
      </c>
      <c r="F8" s="98"/>
      <c r="G8" s="98"/>
      <c r="H8" s="98"/>
      <c r="I8" s="98"/>
      <c r="J8" s="98"/>
      <c r="K8" s="704"/>
      <c r="L8" s="709">
        <v>200</v>
      </c>
      <c r="M8" s="709">
        <v>50</v>
      </c>
      <c r="N8" s="709">
        <v>50</v>
      </c>
      <c r="O8" s="98"/>
      <c r="P8" s="98"/>
      <c r="Q8" s="98"/>
      <c r="R8" s="98"/>
      <c r="S8" s="98"/>
      <c r="T8" s="98"/>
      <c r="U8" s="98"/>
      <c r="V8" s="98"/>
      <c r="W8" s="728">
        <v>72000</v>
      </c>
      <c r="X8" s="735">
        <f t="shared" si="1"/>
        <v>21600000</v>
      </c>
      <c r="Y8" s="709"/>
      <c r="Z8" s="709"/>
      <c r="AA8" s="709"/>
      <c r="AB8" s="709"/>
      <c r="AC8" s="699" t="s">
        <v>4236</v>
      </c>
      <c r="AD8" s="940"/>
      <c r="AE8" s="940"/>
      <c r="AF8" s="940">
        <f t="shared" si="2"/>
        <v>300</v>
      </c>
      <c r="AG8" s="943"/>
    </row>
    <row r="9" spans="1:33">
      <c r="A9" s="701">
        <v>6</v>
      </c>
      <c r="B9" s="702" t="s">
        <v>4287</v>
      </c>
      <c r="C9" s="98"/>
      <c r="D9" s="727">
        <f t="shared" si="0"/>
        <v>45</v>
      </c>
      <c r="E9" s="704" t="s">
        <v>693</v>
      </c>
      <c r="F9" s="98"/>
      <c r="G9" s="98"/>
      <c r="H9" s="98"/>
      <c r="I9" s="98"/>
      <c r="J9" s="98"/>
      <c r="K9" s="704"/>
      <c r="L9" s="709">
        <v>15</v>
      </c>
      <c r="M9" s="709">
        <v>5</v>
      </c>
      <c r="N9" s="709">
        <v>5</v>
      </c>
      <c r="O9" s="98"/>
      <c r="P9" s="98"/>
      <c r="Q9" s="98"/>
      <c r="R9" s="98"/>
      <c r="S9" s="98"/>
      <c r="T9" s="709">
        <v>10</v>
      </c>
      <c r="U9" s="709">
        <v>10</v>
      </c>
      <c r="V9" s="98"/>
      <c r="W9" s="728">
        <v>135000</v>
      </c>
      <c r="X9" s="735">
        <f t="shared" si="1"/>
        <v>6075000</v>
      </c>
      <c r="Y9" s="709"/>
      <c r="Z9" s="709"/>
      <c r="AA9" s="709"/>
      <c r="AB9" s="709"/>
      <c r="AC9" s="699" t="s">
        <v>4236</v>
      </c>
      <c r="AD9" s="940"/>
      <c r="AE9" s="940"/>
      <c r="AF9" s="940">
        <f t="shared" si="2"/>
        <v>45</v>
      </c>
      <c r="AG9" s="943"/>
    </row>
    <row r="10" spans="1:33" ht="30">
      <c r="A10" s="704">
        <v>7</v>
      </c>
      <c r="B10" s="702" t="s">
        <v>4288</v>
      </c>
      <c r="C10" s="98"/>
      <c r="D10" s="727">
        <f t="shared" si="0"/>
        <v>2716</v>
      </c>
      <c r="E10" s="704" t="s">
        <v>693</v>
      </c>
      <c r="F10" s="98"/>
      <c r="G10" s="98"/>
      <c r="H10" s="98"/>
      <c r="I10" s="98"/>
      <c r="J10" s="98"/>
      <c r="K10" s="704"/>
      <c r="L10" s="709">
        <v>400</v>
      </c>
      <c r="M10" s="709">
        <v>150</v>
      </c>
      <c r="N10" s="709">
        <v>150</v>
      </c>
      <c r="O10" s="719"/>
      <c r="P10" s="719">
        <v>600</v>
      </c>
      <c r="Q10" s="98"/>
      <c r="R10" s="98">
        <v>156</v>
      </c>
      <c r="S10" s="98">
        <v>100</v>
      </c>
      <c r="T10" s="709">
        <v>800</v>
      </c>
      <c r="U10" s="709">
        <v>90</v>
      </c>
      <c r="V10" s="98">
        <v>270</v>
      </c>
      <c r="W10" s="728">
        <v>50000</v>
      </c>
      <c r="X10" s="735">
        <f t="shared" si="1"/>
        <v>135800000</v>
      </c>
      <c r="Y10" s="709"/>
      <c r="Z10" s="709"/>
      <c r="AA10" s="709"/>
      <c r="AB10" s="709"/>
      <c r="AC10" s="699" t="s">
        <v>4236</v>
      </c>
      <c r="AD10" s="940" t="s">
        <v>4753</v>
      </c>
      <c r="AE10" s="940">
        <v>283</v>
      </c>
      <c r="AF10" s="940">
        <f t="shared" si="2"/>
        <v>2433</v>
      </c>
      <c r="AG10" s="943">
        <v>15451800</v>
      </c>
    </row>
    <row r="11" spans="1:33" ht="30">
      <c r="A11" s="701">
        <v>8</v>
      </c>
      <c r="B11" s="702" t="s">
        <v>3147</v>
      </c>
      <c r="C11" s="98" t="s">
        <v>615</v>
      </c>
      <c r="D11" s="727">
        <f t="shared" si="0"/>
        <v>299</v>
      </c>
      <c r="E11" s="704" t="s">
        <v>693</v>
      </c>
      <c r="F11" s="98"/>
      <c r="G11" s="98"/>
      <c r="H11" s="98"/>
      <c r="I11" s="98"/>
      <c r="J11" s="98"/>
      <c r="K11" s="704"/>
      <c r="L11" s="709">
        <v>15</v>
      </c>
      <c r="M11" s="709">
        <v>5</v>
      </c>
      <c r="N11" s="709">
        <v>5</v>
      </c>
      <c r="O11" s="719"/>
      <c r="P11" s="719">
        <v>20</v>
      </c>
      <c r="Q11" s="98">
        <v>200</v>
      </c>
      <c r="R11" s="98">
        <v>24</v>
      </c>
      <c r="S11" s="98">
        <v>30</v>
      </c>
      <c r="T11" s="98"/>
      <c r="U11" s="98"/>
      <c r="V11" s="98"/>
      <c r="W11" s="728">
        <v>115000</v>
      </c>
      <c r="X11" s="735">
        <f t="shared" si="1"/>
        <v>34385000</v>
      </c>
      <c r="Y11" s="709"/>
      <c r="Z11" s="709"/>
      <c r="AA11" s="709"/>
      <c r="AB11" s="709"/>
      <c r="AC11" s="699" t="s">
        <v>4236</v>
      </c>
      <c r="AD11" s="940" t="s">
        <v>4753</v>
      </c>
      <c r="AE11" s="940">
        <v>17</v>
      </c>
      <c r="AF11" s="940">
        <f t="shared" si="2"/>
        <v>282</v>
      </c>
      <c r="AG11" s="943">
        <v>928200</v>
      </c>
    </row>
    <row r="12" spans="1:33">
      <c r="A12" s="701">
        <v>9</v>
      </c>
      <c r="B12" s="702" t="s">
        <v>3208</v>
      </c>
      <c r="C12" s="709"/>
      <c r="D12" s="727">
        <f t="shared" si="0"/>
        <v>60</v>
      </c>
      <c r="E12" s="704" t="s">
        <v>693</v>
      </c>
      <c r="F12" s="709"/>
      <c r="G12" s="709"/>
      <c r="H12" s="709"/>
      <c r="I12" s="709"/>
      <c r="J12" s="709"/>
      <c r="K12" s="701"/>
      <c r="L12" s="709"/>
      <c r="M12" s="709"/>
      <c r="N12" s="709"/>
      <c r="O12" s="709"/>
      <c r="P12" s="709">
        <v>10</v>
      </c>
      <c r="Q12" s="709"/>
      <c r="R12" s="709"/>
      <c r="S12" s="709"/>
      <c r="T12" s="709"/>
      <c r="U12" s="709"/>
      <c r="V12" s="709">
        <v>50</v>
      </c>
      <c r="W12" s="728">
        <v>8000</v>
      </c>
      <c r="X12" s="735">
        <f t="shared" si="1"/>
        <v>480000</v>
      </c>
      <c r="Y12" s="709"/>
      <c r="Z12" s="709"/>
      <c r="AA12" s="709"/>
      <c r="AB12" s="709"/>
      <c r="AC12" s="699" t="s">
        <v>4236</v>
      </c>
      <c r="AD12" s="940"/>
      <c r="AE12" s="940"/>
      <c r="AF12" s="940">
        <f t="shared" si="2"/>
        <v>60</v>
      </c>
      <c r="AG12" s="943"/>
    </row>
    <row r="13" spans="1:33">
      <c r="A13" s="704">
        <v>10</v>
      </c>
      <c r="B13" s="700" t="s">
        <v>4296</v>
      </c>
      <c r="C13" s="709"/>
      <c r="D13" s="727">
        <f t="shared" si="0"/>
        <v>15</v>
      </c>
      <c r="E13" s="704" t="s">
        <v>693</v>
      </c>
      <c r="F13" s="709"/>
      <c r="G13" s="709"/>
      <c r="H13" s="709"/>
      <c r="I13" s="709"/>
      <c r="J13" s="709"/>
      <c r="K13" s="701"/>
      <c r="L13" s="709">
        <v>6</v>
      </c>
      <c r="M13" s="709">
        <v>2</v>
      </c>
      <c r="N13" s="709">
        <v>2</v>
      </c>
      <c r="O13" s="709"/>
      <c r="P13" s="709">
        <v>5</v>
      </c>
      <c r="Q13" s="709"/>
      <c r="R13" s="709"/>
      <c r="S13" s="709"/>
      <c r="T13" s="709"/>
      <c r="U13" s="709"/>
      <c r="V13" s="709"/>
      <c r="W13" s="728"/>
      <c r="X13" s="735">
        <f t="shared" si="1"/>
        <v>0</v>
      </c>
      <c r="Y13" s="709"/>
      <c r="Z13" s="709"/>
      <c r="AA13" s="709"/>
      <c r="AB13" s="709"/>
      <c r="AC13" s="699" t="s">
        <v>4236</v>
      </c>
      <c r="AD13" s="940"/>
      <c r="AE13" s="940"/>
      <c r="AF13" s="940">
        <f t="shared" si="2"/>
        <v>15</v>
      </c>
      <c r="AG13" s="943"/>
    </row>
    <row r="14" spans="1:33" s="669" customFormat="1" ht="37.5">
      <c r="A14" s="701">
        <v>11</v>
      </c>
      <c r="B14" s="702" t="s">
        <v>4322</v>
      </c>
      <c r="C14" s="709"/>
      <c r="D14" s="727">
        <f t="shared" si="0"/>
        <v>0</v>
      </c>
      <c r="E14" s="704" t="s">
        <v>286</v>
      </c>
      <c r="F14" s="709"/>
      <c r="G14" s="709"/>
      <c r="H14" s="709"/>
      <c r="I14" s="709"/>
      <c r="J14" s="709"/>
      <c r="K14" s="701"/>
      <c r="L14" s="709"/>
      <c r="M14" s="709"/>
      <c r="N14" s="709"/>
      <c r="O14" s="709"/>
      <c r="P14" s="709"/>
      <c r="Q14" s="709"/>
      <c r="R14" s="709"/>
      <c r="S14" s="709"/>
      <c r="T14" s="709"/>
      <c r="U14" s="709"/>
      <c r="V14" s="709"/>
      <c r="W14" s="728">
        <v>30000</v>
      </c>
      <c r="X14" s="735">
        <f t="shared" si="1"/>
        <v>0</v>
      </c>
      <c r="Y14" s="709"/>
      <c r="Z14" s="709"/>
      <c r="AA14" s="709"/>
      <c r="AB14" s="709"/>
      <c r="AC14" s="699" t="s">
        <v>4236</v>
      </c>
      <c r="AD14" s="940"/>
      <c r="AE14" s="940"/>
      <c r="AF14" s="940">
        <f t="shared" si="2"/>
        <v>0</v>
      </c>
      <c r="AG14" s="943"/>
    </row>
    <row r="15" spans="1:33" s="669" customFormat="1" ht="37.5">
      <c r="A15" s="701">
        <v>12</v>
      </c>
      <c r="B15" s="702" t="s">
        <v>4323</v>
      </c>
      <c r="C15" s="709"/>
      <c r="D15" s="727">
        <f t="shared" si="0"/>
        <v>0</v>
      </c>
      <c r="E15" s="704" t="s">
        <v>693</v>
      </c>
      <c r="F15" s="709"/>
      <c r="G15" s="709"/>
      <c r="H15" s="709"/>
      <c r="I15" s="709"/>
      <c r="J15" s="709"/>
      <c r="K15" s="701"/>
      <c r="L15" s="709"/>
      <c r="M15" s="709"/>
      <c r="N15" s="709"/>
      <c r="O15" s="709"/>
      <c r="P15" s="709"/>
      <c r="Q15" s="709"/>
      <c r="R15" s="709"/>
      <c r="S15" s="709"/>
      <c r="T15" s="709"/>
      <c r="U15" s="709"/>
      <c r="V15" s="709"/>
      <c r="W15" s="728">
        <v>50000</v>
      </c>
      <c r="X15" s="735">
        <f t="shared" si="1"/>
        <v>0</v>
      </c>
      <c r="Y15" s="709"/>
      <c r="Z15" s="709"/>
      <c r="AA15" s="709"/>
      <c r="AB15" s="709"/>
      <c r="AC15" s="699" t="s">
        <v>4236</v>
      </c>
      <c r="AD15" s="940"/>
      <c r="AE15" s="940"/>
      <c r="AF15" s="940">
        <f t="shared" si="2"/>
        <v>0</v>
      </c>
      <c r="AG15" s="943"/>
    </row>
    <row r="16" spans="1:33" s="669" customFormat="1" ht="93.75">
      <c r="A16" s="704">
        <v>13</v>
      </c>
      <c r="B16" s="720" t="s">
        <v>4433</v>
      </c>
      <c r="C16" s="721" t="s">
        <v>4432</v>
      </c>
      <c r="D16" s="727">
        <f t="shared" si="0"/>
        <v>150</v>
      </c>
      <c r="E16" s="722" t="s">
        <v>127</v>
      </c>
      <c r="F16" s="709"/>
      <c r="G16" s="709"/>
      <c r="H16" s="709"/>
      <c r="I16" s="709"/>
      <c r="J16" s="709"/>
      <c r="K16" s="701"/>
      <c r="L16" s="709">
        <v>90</v>
      </c>
      <c r="M16" s="709">
        <v>30</v>
      </c>
      <c r="N16" s="709">
        <v>30</v>
      </c>
      <c r="O16" s="709"/>
      <c r="P16" s="709"/>
      <c r="Q16" s="709"/>
      <c r="R16" s="709"/>
      <c r="S16" s="709"/>
      <c r="T16" s="709"/>
      <c r="U16" s="709"/>
      <c r="V16" s="709"/>
      <c r="W16" s="728">
        <v>280000</v>
      </c>
      <c r="X16" s="735">
        <f t="shared" si="1"/>
        <v>42000000</v>
      </c>
      <c r="Y16" s="709"/>
      <c r="Z16" s="709"/>
      <c r="AA16" s="709"/>
      <c r="AB16" s="709"/>
      <c r="AC16" s="699" t="s">
        <v>4236</v>
      </c>
      <c r="AD16" s="940" t="s">
        <v>4753</v>
      </c>
      <c r="AE16" s="940">
        <v>12</v>
      </c>
      <c r="AF16" s="940">
        <f t="shared" si="2"/>
        <v>138</v>
      </c>
      <c r="AG16" s="943">
        <v>1058400</v>
      </c>
    </row>
    <row r="17" spans="1:33" s="708" customFormat="1" ht="37.5">
      <c r="A17" s="701">
        <v>14</v>
      </c>
      <c r="B17" s="702" t="s">
        <v>627</v>
      </c>
      <c r="C17" s="98" t="s">
        <v>4352</v>
      </c>
      <c r="D17" s="727">
        <f t="shared" si="0"/>
        <v>1004</v>
      </c>
      <c r="E17" s="704" t="s">
        <v>693</v>
      </c>
      <c r="F17" s="98"/>
      <c r="G17" s="98"/>
      <c r="H17" s="98"/>
      <c r="I17" s="98"/>
      <c r="J17" s="98"/>
      <c r="K17" s="98"/>
      <c r="L17" s="709">
        <v>200</v>
      </c>
      <c r="M17" s="709">
        <v>100</v>
      </c>
      <c r="N17" s="709">
        <v>100</v>
      </c>
      <c r="O17" s="98"/>
      <c r="P17" s="98"/>
      <c r="Q17" s="98">
        <v>2</v>
      </c>
      <c r="R17" s="98">
        <v>2</v>
      </c>
      <c r="S17" s="98">
        <v>400</v>
      </c>
      <c r="T17" s="709"/>
      <c r="U17" s="709">
        <v>200</v>
      </c>
      <c r="V17" s="98"/>
      <c r="W17" s="729"/>
      <c r="X17" s="735">
        <f t="shared" si="1"/>
        <v>0</v>
      </c>
      <c r="Y17" s="98"/>
      <c r="Z17" s="98"/>
      <c r="AA17" s="98"/>
      <c r="AB17" s="98"/>
      <c r="AC17" s="699" t="s">
        <v>4236</v>
      </c>
      <c r="AD17" s="940" t="s">
        <v>4753</v>
      </c>
      <c r="AE17" s="940">
        <v>12</v>
      </c>
      <c r="AF17" s="940">
        <f t="shared" si="2"/>
        <v>992</v>
      </c>
      <c r="AG17" s="943">
        <v>35280</v>
      </c>
    </row>
    <row r="18" spans="1:33" s="710" customFormat="1">
      <c r="A18" s="701">
        <v>15</v>
      </c>
      <c r="B18" s="700" t="s">
        <v>4311</v>
      </c>
      <c r="C18" s="709"/>
      <c r="D18" s="727">
        <f t="shared" si="0"/>
        <v>35</v>
      </c>
      <c r="E18" s="704" t="s">
        <v>286</v>
      </c>
      <c r="F18" s="709"/>
      <c r="G18" s="709"/>
      <c r="H18" s="709"/>
      <c r="I18" s="709"/>
      <c r="J18" s="709"/>
      <c r="K18" s="701"/>
      <c r="L18" s="709"/>
      <c r="M18" s="709"/>
      <c r="N18" s="709"/>
      <c r="O18" s="709"/>
      <c r="P18" s="709"/>
      <c r="Q18" s="709"/>
      <c r="R18" s="709"/>
      <c r="S18" s="98"/>
      <c r="T18" s="709">
        <v>35</v>
      </c>
      <c r="U18" s="713"/>
      <c r="V18" s="98"/>
      <c r="W18" s="729">
        <v>220000</v>
      </c>
      <c r="X18" s="735">
        <f t="shared" si="1"/>
        <v>7700000</v>
      </c>
      <c r="Y18" s="98"/>
      <c r="Z18" s="98"/>
      <c r="AA18" s="98"/>
      <c r="AB18" s="98"/>
      <c r="AC18" s="699" t="s">
        <v>4236</v>
      </c>
      <c r="AD18" s="940"/>
      <c r="AE18" s="973"/>
      <c r="AF18" s="940">
        <f t="shared" si="2"/>
        <v>35</v>
      </c>
      <c r="AG18" s="974"/>
    </row>
    <row r="19" spans="1:33" ht="30">
      <c r="A19" s="704">
        <v>16</v>
      </c>
      <c r="B19" s="702" t="s">
        <v>4754</v>
      </c>
      <c r="C19" s="709"/>
      <c r="D19" s="727">
        <f t="shared" si="0"/>
        <v>35</v>
      </c>
      <c r="E19" s="704" t="s">
        <v>286</v>
      </c>
      <c r="F19" s="709"/>
      <c r="G19" s="709"/>
      <c r="H19" s="709"/>
      <c r="I19" s="709"/>
      <c r="J19" s="709"/>
      <c r="K19" s="701"/>
      <c r="L19" s="709"/>
      <c r="M19" s="709"/>
      <c r="N19" s="709"/>
      <c r="O19" s="709"/>
      <c r="P19" s="709"/>
      <c r="Q19" s="709"/>
      <c r="R19" s="709"/>
      <c r="S19" s="709"/>
      <c r="T19" s="709">
        <v>35</v>
      </c>
      <c r="U19" s="709"/>
      <c r="V19" s="709"/>
      <c r="W19" s="728">
        <v>120000</v>
      </c>
      <c r="X19" s="735">
        <f t="shared" si="1"/>
        <v>4200000</v>
      </c>
      <c r="Y19" s="709"/>
      <c r="Z19" s="709"/>
      <c r="AA19" s="709"/>
      <c r="AB19" s="709"/>
      <c r="AC19" s="699" t="s">
        <v>4236</v>
      </c>
      <c r="AD19" s="940" t="s">
        <v>4753</v>
      </c>
      <c r="AE19" s="940">
        <v>7</v>
      </c>
      <c r="AF19" s="940">
        <f t="shared" si="2"/>
        <v>28</v>
      </c>
      <c r="AG19" s="943">
        <v>382200</v>
      </c>
    </row>
    <row r="20" spans="1:33" s="669" customFormat="1">
      <c r="A20" s="701">
        <v>17</v>
      </c>
      <c r="B20" s="700" t="s">
        <v>4320</v>
      </c>
      <c r="C20" s="709"/>
      <c r="D20" s="727">
        <f t="shared" si="0"/>
        <v>0</v>
      </c>
      <c r="E20" s="704" t="s">
        <v>286</v>
      </c>
      <c r="F20" s="709"/>
      <c r="G20" s="709"/>
      <c r="H20" s="709"/>
      <c r="I20" s="709"/>
      <c r="J20" s="709"/>
      <c r="K20" s="701"/>
      <c r="L20" s="709"/>
      <c r="M20" s="709"/>
      <c r="N20" s="709"/>
      <c r="O20" s="709"/>
      <c r="P20" s="709"/>
      <c r="Q20" s="709"/>
      <c r="R20" s="709"/>
      <c r="S20" s="709"/>
      <c r="T20" s="709"/>
      <c r="U20" s="709"/>
      <c r="V20" s="709"/>
      <c r="W20" s="728">
        <v>90000</v>
      </c>
      <c r="X20" s="735">
        <f t="shared" si="1"/>
        <v>0</v>
      </c>
      <c r="Y20" s="709"/>
      <c r="Z20" s="709"/>
      <c r="AA20" s="709"/>
      <c r="AB20" s="709"/>
      <c r="AC20" s="699" t="s">
        <v>4236</v>
      </c>
      <c r="AD20" s="940"/>
      <c r="AE20" s="940"/>
      <c r="AF20" s="940">
        <f t="shared" si="2"/>
        <v>0</v>
      </c>
      <c r="AG20" s="943"/>
    </row>
    <row r="21" spans="1:33" s="669" customFormat="1" ht="75">
      <c r="A21" s="701">
        <v>18</v>
      </c>
      <c r="B21" s="702" t="s">
        <v>4266</v>
      </c>
      <c r="C21" s="721" t="s">
        <v>4434</v>
      </c>
      <c r="D21" s="727">
        <f t="shared" si="0"/>
        <v>153</v>
      </c>
      <c r="E21" s="704" t="s">
        <v>4267</v>
      </c>
      <c r="F21" s="709"/>
      <c r="G21" s="709"/>
      <c r="H21" s="709"/>
      <c r="I21" s="709"/>
      <c r="J21" s="709"/>
      <c r="K21" s="704"/>
      <c r="L21" s="709">
        <v>50</v>
      </c>
      <c r="M21" s="709">
        <v>25</v>
      </c>
      <c r="N21" s="709">
        <v>25</v>
      </c>
      <c r="O21" s="709"/>
      <c r="P21" s="709">
        <v>13</v>
      </c>
      <c r="Q21" s="709"/>
      <c r="R21" s="709"/>
      <c r="S21" s="709"/>
      <c r="T21" s="709"/>
      <c r="U21" s="709">
        <v>40</v>
      </c>
      <c r="V21" s="709"/>
      <c r="W21" s="728">
        <v>10000</v>
      </c>
      <c r="X21" s="735">
        <f t="shared" si="1"/>
        <v>1530000</v>
      </c>
      <c r="Y21" s="709"/>
      <c r="Z21" s="709"/>
      <c r="AA21" s="709"/>
      <c r="AB21" s="709"/>
      <c r="AC21" s="699" t="s">
        <v>4236</v>
      </c>
      <c r="AD21" s="940" t="s">
        <v>4753</v>
      </c>
      <c r="AE21" s="940">
        <v>8</v>
      </c>
      <c r="AF21" s="940">
        <f t="shared" si="2"/>
        <v>145</v>
      </c>
      <c r="AG21" s="943">
        <v>50400</v>
      </c>
    </row>
    <row r="22" spans="1:33" s="710" customFormat="1" ht="37.5">
      <c r="A22" s="704">
        <v>19</v>
      </c>
      <c r="B22" s="702" t="s">
        <v>4256</v>
      </c>
      <c r="C22" s="721" t="s">
        <v>4395</v>
      </c>
      <c r="D22" s="727">
        <f t="shared" si="0"/>
        <v>150</v>
      </c>
      <c r="E22" s="704" t="s">
        <v>286</v>
      </c>
      <c r="F22" s="709"/>
      <c r="G22" s="709"/>
      <c r="H22" s="709"/>
      <c r="I22" s="709"/>
      <c r="J22" s="709"/>
      <c r="K22" s="701"/>
      <c r="L22" s="709">
        <v>31</v>
      </c>
      <c r="M22" s="709">
        <v>12</v>
      </c>
      <c r="N22" s="709">
        <v>12</v>
      </c>
      <c r="O22" s="709"/>
      <c r="P22" s="709">
        <v>15</v>
      </c>
      <c r="Q22" s="709"/>
      <c r="R22" s="709"/>
      <c r="S22" s="98"/>
      <c r="T22" s="709">
        <v>40</v>
      </c>
      <c r="U22" s="709">
        <v>40</v>
      </c>
      <c r="V22" s="98"/>
      <c r="W22" s="729">
        <v>580000</v>
      </c>
      <c r="X22" s="735">
        <f t="shared" si="1"/>
        <v>87000000</v>
      </c>
      <c r="Y22" s="98"/>
      <c r="Z22" s="98"/>
      <c r="AA22" s="98"/>
      <c r="AB22" s="98"/>
      <c r="AC22" s="699" t="s">
        <v>4236</v>
      </c>
      <c r="AD22" s="940" t="s">
        <v>4753</v>
      </c>
      <c r="AE22" s="973">
        <v>11</v>
      </c>
      <c r="AF22" s="940">
        <f t="shared" si="2"/>
        <v>139</v>
      </c>
      <c r="AG22" s="974">
        <v>2772000</v>
      </c>
    </row>
    <row r="23" spans="1:33" ht="30">
      <c r="A23" s="701">
        <v>20</v>
      </c>
      <c r="B23" s="702" t="s">
        <v>4333</v>
      </c>
      <c r="C23" s="709"/>
      <c r="D23" s="727">
        <f t="shared" si="0"/>
        <v>870</v>
      </c>
      <c r="E23" s="704" t="s">
        <v>286</v>
      </c>
      <c r="F23" s="709"/>
      <c r="G23" s="709"/>
      <c r="H23" s="709"/>
      <c r="I23" s="709"/>
      <c r="J23" s="709"/>
      <c r="K23" s="709"/>
      <c r="L23" s="709"/>
      <c r="M23" s="709"/>
      <c r="N23" s="709"/>
      <c r="O23" s="709"/>
      <c r="P23" s="709">
        <v>100</v>
      </c>
      <c r="Q23" s="709"/>
      <c r="R23" s="709"/>
      <c r="S23" s="709"/>
      <c r="T23" s="709">
        <v>400</v>
      </c>
      <c r="U23" s="709">
        <v>120</v>
      </c>
      <c r="V23" s="709">
        <v>250</v>
      </c>
      <c r="W23" s="728">
        <v>17000</v>
      </c>
      <c r="X23" s="735">
        <f t="shared" si="1"/>
        <v>14790000</v>
      </c>
      <c r="Y23" s="709"/>
      <c r="Z23" s="709"/>
      <c r="AA23" s="709"/>
      <c r="AB23" s="709"/>
      <c r="AC23" s="699" t="s">
        <v>4236</v>
      </c>
      <c r="AD23" s="940" t="s">
        <v>4753</v>
      </c>
      <c r="AE23" s="940">
        <v>35</v>
      </c>
      <c r="AF23" s="940">
        <f t="shared" si="2"/>
        <v>835</v>
      </c>
      <c r="AG23" s="943">
        <v>294000</v>
      </c>
    </row>
    <row r="24" spans="1:33" ht="30">
      <c r="A24" s="701">
        <v>21</v>
      </c>
      <c r="B24" s="702" t="s">
        <v>641</v>
      </c>
      <c r="C24" s="709"/>
      <c r="D24" s="727">
        <f t="shared" si="0"/>
        <v>580</v>
      </c>
      <c r="E24" s="704" t="s">
        <v>286</v>
      </c>
      <c r="F24" s="709"/>
      <c r="G24" s="709"/>
      <c r="H24" s="709"/>
      <c r="I24" s="709"/>
      <c r="J24" s="709"/>
      <c r="K24" s="701"/>
      <c r="L24" s="709">
        <v>200</v>
      </c>
      <c r="M24" s="709">
        <v>100</v>
      </c>
      <c r="N24" s="709">
        <v>100</v>
      </c>
      <c r="O24" s="709"/>
      <c r="P24" s="709">
        <v>100</v>
      </c>
      <c r="Q24" s="709">
        <v>20</v>
      </c>
      <c r="R24" s="709">
        <v>20</v>
      </c>
      <c r="S24" s="709">
        <v>40</v>
      </c>
      <c r="T24" s="709"/>
      <c r="U24" s="709"/>
      <c r="V24" s="709"/>
      <c r="W24" s="728">
        <v>15000</v>
      </c>
      <c r="X24" s="727">
        <f t="shared" si="1"/>
        <v>8700000</v>
      </c>
      <c r="Y24" s="709"/>
      <c r="Z24" s="709"/>
      <c r="AA24" s="709"/>
      <c r="AB24" s="709"/>
      <c r="AC24" s="699" t="s">
        <v>4236</v>
      </c>
      <c r="AD24" s="940" t="s">
        <v>4753</v>
      </c>
      <c r="AE24" s="940">
        <v>93</v>
      </c>
      <c r="AF24" s="940">
        <f t="shared" si="2"/>
        <v>487</v>
      </c>
      <c r="AG24" s="943">
        <v>703080</v>
      </c>
    </row>
    <row r="25" spans="1:33" s="669" customFormat="1" ht="30">
      <c r="A25" s="704">
        <v>22</v>
      </c>
      <c r="B25" s="702" t="s">
        <v>4372</v>
      </c>
      <c r="C25" s="709"/>
      <c r="D25" s="727">
        <f t="shared" si="0"/>
        <v>200</v>
      </c>
      <c r="E25" s="704" t="s">
        <v>286</v>
      </c>
      <c r="F25" s="709"/>
      <c r="G25" s="709"/>
      <c r="H25" s="709"/>
      <c r="I25" s="709"/>
      <c r="J25" s="709"/>
      <c r="K25" s="701"/>
      <c r="L25" s="709"/>
      <c r="M25" s="709"/>
      <c r="N25" s="709"/>
      <c r="O25" s="709"/>
      <c r="P25" s="709"/>
      <c r="Q25" s="709">
        <v>200</v>
      </c>
      <c r="R25" s="709"/>
      <c r="S25" s="709"/>
      <c r="T25" s="709"/>
      <c r="U25" s="709"/>
      <c r="V25" s="709"/>
      <c r="W25" s="728">
        <v>4500</v>
      </c>
      <c r="X25" s="727">
        <f t="shared" si="1"/>
        <v>900000</v>
      </c>
      <c r="Y25" s="709"/>
      <c r="Z25" s="709"/>
      <c r="AA25" s="709"/>
      <c r="AB25" s="709"/>
      <c r="AC25" s="699" t="s">
        <v>4236</v>
      </c>
      <c r="AD25" s="940" t="s">
        <v>4753</v>
      </c>
      <c r="AE25" s="940">
        <v>33</v>
      </c>
      <c r="AF25" s="940">
        <f t="shared" si="2"/>
        <v>167</v>
      </c>
      <c r="AG25" s="943">
        <v>69300</v>
      </c>
    </row>
    <row r="26" spans="1:33">
      <c r="A26" s="701">
        <v>23</v>
      </c>
      <c r="B26" s="702" t="s">
        <v>4371</v>
      </c>
      <c r="C26" s="709"/>
      <c r="D26" s="727">
        <f t="shared" si="0"/>
        <v>200</v>
      </c>
      <c r="E26" s="704" t="s">
        <v>286</v>
      </c>
      <c r="F26" s="709"/>
      <c r="G26" s="709"/>
      <c r="H26" s="709"/>
      <c r="I26" s="709"/>
      <c r="J26" s="709"/>
      <c r="K26" s="701"/>
      <c r="L26" s="709"/>
      <c r="M26" s="709"/>
      <c r="N26" s="709"/>
      <c r="O26" s="709"/>
      <c r="P26" s="709"/>
      <c r="Q26" s="709"/>
      <c r="R26" s="709"/>
      <c r="S26" s="709"/>
      <c r="T26" s="709"/>
      <c r="U26" s="709">
        <v>200</v>
      </c>
      <c r="V26" s="709"/>
      <c r="W26" s="728">
        <v>4200</v>
      </c>
      <c r="X26" s="727">
        <f t="shared" si="1"/>
        <v>840000</v>
      </c>
      <c r="Y26" s="709"/>
      <c r="Z26" s="709"/>
      <c r="AA26" s="709"/>
      <c r="AB26" s="709"/>
      <c r="AC26" s="699" t="s">
        <v>4236</v>
      </c>
      <c r="AD26" s="940"/>
      <c r="AE26" s="940"/>
      <c r="AF26" s="940">
        <f t="shared" si="2"/>
        <v>200</v>
      </c>
      <c r="AG26" s="943"/>
    </row>
    <row r="27" spans="1:33">
      <c r="A27" s="701">
        <v>24</v>
      </c>
      <c r="B27" s="702" t="s">
        <v>4256</v>
      </c>
      <c r="C27" s="709"/>
      <c r="D27" s="727">
        <f t="shared" si="0"/>
        <v>0</v>
      </c>
      <c r="E27" s="704" t="s">
        <v>286</v>
      </c>
      <c r="F27" s="709"/>
      <c r="G27" s="709"/>
      <c r="H27" s="709"/>
      <c r="I27" s="709"/>
      <c r="J27" s="709"/>
      <c r="K27" s="704"/>
      <c r="L27" s="709"/>
      <c r="M27" s="709"/>
      <c r="N27" s="709"/>
      <c r="O27" s="709"/>
      <c r="P27" s="709"/>
      <c r="Q27" s="709"/>
      <c r="R27" s="709"/>
      <c r="S27" s="709"/>
      <c r="T27" s="709"/>
      <c r="U27" s="709"/>
      <c r="V27" s="709"/>
      <c r="W27" s="728">
        <v>80000</v>
      </c>
      <c r="X27" s="727">
        <f t="shared" si="1"/>
        <v>0</v>
      </c>
      <c r="Y27" s="709"/>
      <c r="Z27" s="709"/>
      <c r="AA27" s="709"/>
      <c r="AB27" s="709"/>
      <c r="AC27" s="699" t="s">
        <v>4236</v>
      </c>
      <c r="AD27" s="940"/>
      <c r="AE27" s="940"/>
      <c r="AF27" s="940">
        <f t="shared" si="2"/>
        <v>0</v>
      </c>
      <c r="AG27" s="943"/>
    </row>
    <row r="28" spans="1:33" s="705" customFormat="1" ht="112.5">
      <c r="A28" s="704">
        <v>25</v>
      </c>
      <c r="B28" s="702" t="s">
        <v>4332</v>
      </c>
      <c r="C28" s="723" t="s">
        <v>4392</v>
      </c>
      <c r="D28" s="727">
        <f t="shared" si="0"/>
        <v>1810</v>
      </c>
      <c r="E28" s="704" t="s">
        <v>286</v>
      </c>
      <c r="F28" s="709"/>
      <c r="G28" s="709"/>
      <c r="H28" s="709"/>
      <c r="I28" s="709"/>
      <c r="J28" s="709"/>
      <c r="K28" s="709"/>
      <c r="L28" s="709">
        <v>800</v>
      </c>
      <c r="M28" s="709">
        <v>250</v>
      </c>
      <c r="N28" s="709">
        <v>250</v>
      </c>
      <c r="O28" s="709"/>
      <c r="P28" s="709">
        <v>100</v>
      </c>
      <c r="Q28" s="709"/>
      <c r="R28" s="709"/>
      <c r="S28" s="709"/>
      <c r="T28" s="709">
        <v>80</v>
      </c>
      <c r="U28" s="709">
        <v>80</v>
      </c>
      <c r="V28" s="709">
        <v>250</v>
      </c>
      <c r="W28" s="728">
        <v>7700</v>
      </c>
      <c r="X28" s="727">
        <f t="shared" si="1"/>
        <v>13937000</v>
      </c>
      <c r="Y28" s="709"/>
      <c r="Z28" s="709"/>
      <c r="AA28" s="709"/>
      <c r="AB28" s="709"/>
      <c r="AC28" s="699" t="s">
        <v>4236</v>
      </c>
      <c r="AD28" s="940" t="s">
        <v>4753</v>
      </c>
      <c r="AE28" s="973">
        <v>143</v>
      </c>
      <c r="AF28" s="940">
        <f t="shared" si="2"/>
        <v>1667</v>
      </c>
      <c r="AG28" s="974">
        <v>600600</v>
      </c>
    </row>
    <row r="29" spans="1:33" s="669" customFormat="1" ht="30">
      <c r="A29" s="701">
        <v>26</v>
      </c>
      <c r="B29" s="702" t="s">
        <v>4334</v>
      </c>
      <c r="C29" s="709"/>
      <c r="D29" s="727">
        <f t="shared" si="0"/>
        <v>140</v>
      </c>
      <c r="E29" s="704" t="s">
        <v>693</v>
      </c>
      <c r="F29" s="709"/>
      <c r="G29" s="709"/>
      <c r="H29" s="709"/>
      <c r="I29" s="709"/>
      <c r="J29" s="709"/>
      <c r="K29" s="709"/>
      <c r="L29" s="709"/>
      <c r="M29" s="709"/>
      <c r="N29" s="709"/>
      <c r="O29" s="709"/>
      <c r="P29" s="709">
        <v>100</v>
      </c>
      <c r="Q29" s="709"/>
      <c r="R29" s="709"/>
      <c r="S29" s="709"/>
      <c r="T29" s="709"/>
      <c r="U29" s="709"/>
      <c r="V29" s="709">
        <v>40</v>
      </c>
      <c r="W29" s="728">
        <v>500</v>
      </c>
      <c r="X29" s="727">
        <f t="shared" si="1"/>
        <v>70000</v>
      </c>
      <c r="Y29" s="709"/>
      <c r="Z29" s="709"/>
      <c r="AA29" s="709"/>
      <c r="AB29" s="709"/>
      <c r="AC29" s="699" t="s">
        <v>4236</v>
      </c>
      <c r="AD29" s="940" t="s">
        <v>4753</v>
      </c>
      <c r="AE29" s="940">
        <v>20</v>
      </c>
      <c r="AF29" s="940">
        <f t="shared" si="2"/>
        <v>120</v>
      </c>
      <c r="AG29" s="943">
        <v>12600</v>
      </c>
    </row>
    <row r="30" spans="1:33" s="669" customFormat="1" ht="30">
      <c r="A30" s="701">
        <v>27</v>
      </c>
      <c r="B30" s="702" t="s">
        <v>4273</v>
      </c>
      <c r="C30" s="709"/>
      <c r="D30" s="727">
        <f t="shared" si="0"/>
        <v>80</v>
      </c>
      <c r="E30" s="704" t="s">
        <v>693</v>
      </c>
      <c r="F30" s="709"/>
      <c r="G30" s="709"/>
      <c r="H30" s="709"/>
      <c r="I30" s="709"/>
      <c r="J30" s="709"/>
      <c r="K30" s="704"/>
      <c r="L30" s="709"/>
      <c r="M30" s="709"/>
      <c r="N30" s="709"/>
      <c r="O30" s="719"/>
      <c r="P30" s="719">
        <v>20</v>
      </c>
      <c r="Q30" s="709"/>
      <c r="R30" s="709"/>
      <c r="S30" s="709"/>
      <c r="T30" s="709">
        <v>50</v>
      </c>
      <c r="U30" s="709">
        <v>10</v>
      </c>
      <c r="V30" s="709"/>
      <c r="W30" s="728">
        <v>38000</v>
      </c>
      <c r="X30" s="727">
        <f t="shared" si="1"/>
        <v>3040000</v>
      </c>
      <c r="Y30" s="709"/>
      <c r="Z30" s="709"/>
      <c r="AA30" s="709"/>
      <c r="AB30" s="709"/>
      <c r="AC30" s="699" t="s">
        <v>4236</v>
      </c>
      <c r="AD30" s="940" t="s">
        <v>4753</v>
      </c>
      <c r="AE30" s="940">
        <v>3</v>
      </c>
      <c r="AF30" s="940">
        <f t="shared" si="2"/>
        <v>77</v>
      </c>
      <c r="AG30" s="943">
        <v>37800</v>
      </c>
    </row>
    <row r="31" spans="1:33" s="669" customFormat="1" ht="30">
      <c r="A31" s="704">
        <v>28</v>
      </c>
      <c r="B31" s="702" t="s">
        <v>4314</v>
      </c>
      <c r="C31" s="709"/>
      <c r="D31" s="727">
        <f t="shared" si="0"/>
        <v>70</v>
      </c>
      <c r="E31" s="704" t="s">
        <v>286</v>
      </c>
      <c r="F31" s="709"/>
      <c r="G31" s="709"/>
      <c r="H31" s="709"/>
      <c r="I31" s="709"/>
      <c r="J31" s="709"/>
      <c r="K31" s="704"/>
      <c r="L31" s="709"/>
      <c r="M31" s="709"/>
      <c r="N31" s="709"/>
      <c r="O31" s="719"/>
      <c r="P31" s="719">
        <v>10</v>
      </c>
      <c r="Q31" s="709"/>
      <c r="R31" s="709"/>
      <c r="S31" s="709"/>
      <c r="T31" s="709">
        <v>50</v>
      </c>
      <c r="U31" s="709">
        <v>10</v>
      </c>
      <c r="V31" s="709"/>
      <c r="W31" s="728">
        <v>5000</v>
      </c>
      <c r="X31" s="727">
        <f t="shared" si="1"/>
        <v>350000</v>
      </c>
      <c r="Y31" s="709"/>
      <c r="Z31" s="709"/>
      <c r="AA31" s="709"/>
      <c r="AB31" s="709"/>
      <c r="AC31" s="699" t="s">
        <v>4236</v>
      </c>
      <c r="AD31" s="940" t="s">
        <v>4753</v>
      </c>
      <c r="AE31" s="940">
        <v>2</v>
      </c>
      <c r="AF31" s="940">
        <f t="shared" si="2"/>
        <v>68</v>
      </c>
      <c r="AG31" s="943">
        <v>25200</v>
      </c>
    </row>
    <row r="32" spans="1:33" s="669" customFormat="1" ht="30">
      <c r="A32" s="701">
        <v>29</v>
      </c>
      <c r="B32" s="702" t="s">
        <v>4274</v>
      </c>
      <c r="C32" s="709"/>
      <c r="D32" s="727">
        <f t="shared" si="0"/>
        <v>70</v>
      </c>
      <c r="E32" s="704" t="s">
        <v>693</v>
      </c>
      <c r="F32" s="709"/>
      <c r="G32" s="709"/>
      <c r="H32" s="709"/>
      <c r="I32" s="709"/>
      <c r="J32" s="709"/>
      <c r="K32" s="704"/>
      <c r="L32" s="709"/>
      <c r="M32" s="709"/>
      <c r="N32" s="709"/>
      <c r="O32" s="719"/>
      <c r="P32" s="719">
        <v>10</v>
      </c>
      <c r="Q32" s="709"/>
      <c r="R32" s="709"/>
      <c r="S32" s="709"/>
      <c r="T32" s="709">
        <v>50</v>
      </c>
      <c r="U32" s="709">
        <v>10</v>
      </c>
      <c r="V32" s="709"/>
      <c r="W32" s="728">
        <v>7500</v>
      </c>
      <c r="X32" s="727">
        <f t="shared" si="1"/>
        <v>525000</v>
      </c>
      <c r="Y32" s="709"/>
      <c r="Z32" s="709"/>
      <c r="AA32" s="709"/>
      <c r="AB32" s="709"/>
      <c r="AC32" s="699" t="s">
        <v>4236</v>
      </c>
      <c r="AD32" s="940" t="s">
        <v>4753</v>
      </c>
      <c r="AE32" s="940">
        <v>2</v>
      </c>
      <c r="AF32" s="940">
        <f t="shared" si="2"/>
        <v>68</v>
      </c>
      <c r="AG32" s="943">
        <v>25200</v>
      </c>
    </row>
    <row r="33" spans="1:33" s="669" customFormat="1" ht="30">
      <c r="A33" s="701">
        <v>30</v>
      </c>
      <c r="B33" s="702" t="s">
        <v>4275</v>
      </c>
      <c r="C33" s="709"/>
      <c r="D33" s="727">
        <f t="shared" si="0"/>
        <v>80</v>
      </c>
      <c r="E33" s="704" t="s">
        <v>693</v>
      </c>
      <c r="F33" s="709"/>
      <c r="G33" s="709"/>
      <c r="H33" s="709"/>
      <c r="I33" s="709"/>
      <c r="J33" s="709"/>
      <c r="K33" s="704"/>
      <c r="L33" s="709">
        <v>6</v>
      </c>
      <c r="M33" s="709">
        <v>2</v>
      </c>
      <c r="N33" s="709">
        <v>2</v>
      </c>
      <c r="O33" s="719"/>
      <c r="P33" s="719">
        <v>10</v>
      </c>
      <c r="Q33" s="709"/>
      <c r="R33" s="709"/>
      <c r="S33" s="709"/>
      <c r="T33" s="709">
        <v>50</v>
      </c>
      <c r="U33" s="709">
        <v>10</v>
      </c>
      <c r="V33" s="709"/>
      <c r="W33" s="728">
        <v>5800</v>
      </c>
      <c r="X33" s="727">
        <f t="shared" si="1"/>
        <v>464000</v>
      </c>
      <c r="Y33" s="709"/>
      <c r="Z33" s="709"/>
      <c r="AA33" s="709"/>
      <c r="AB33" s="709"/>
      <c r="AC33" s="699" t="s">
        <v>4236</v>
      </c>
      <c r="AD33" s="940" t="s">
        <v>4753</v>
      </c>
      <c r="AE33" s="940">
        <v>2</v>
      </c>
      <c r="AF33" s="940">
        <f t="shared" si="2"/>
        <v>78</v>
      </c>
      <c r="AG33" s="943">
        <v>25200</v>
      </c>
    </row>
    <row r="34" spans="1:33" s="669" customFormat="1" ht="30">
      <c r="A34" s="704">
        <v>31</v>
      </c>
      <c r="B34" s="702" t="s">
        <v>4276</v>
      </c>
      <c r="C34" s="709"/>
      <c r="D34" s="727">
        <f t="shared" si="0"/>
        <v>70</v>
      </c>
      <c r="E34" s="704" t="s">
        <v>693</v>
      </c>
      <c r="F34" s="709"/>
      <c r="G34" s="709"/>
      <c r="H34" s="709"/>
      <c r="I34" s="709"/>
      <c r="J34" s="709"/>
      <c r="K34" s="704"/>
      <c r="L34" s="709"/>
      <c r="M34" s="709"/>
      <c r="N34" s="709"/>
      <c r="O34" s="719"/>
      <c r="P34" s="719">
        <v>10</v>
      </c>
      <c r="Q34" s="709"/>
      <c r="R34" s="709"/>
      <c r="S34" s="709"/>
      <c r="T34" s="709">
        <v>50</v>
      </c>
      <c r="U34" s="709">
        <v>10</v>
      </c>
      <c r="V34" s="709"/>
      <c r="W34" s="728">
        <v>11000</v>
      </c>
      <c r="X34" s="727">
        <f t="shared" si="1"/>
        <v>770000</v>
      </c>
      <c r="Y34" s="709"/>
      <c r="Z34" s="709"/>
      <c r="AA34" s="709"/>
      <c r="AB34" s="709"/>
      <c r="AC34" s="699" t="s">
        <v>4236</v>
      </c>
      <c r="AD34" s="940" t="s">
        <v>4753</v>
      </c>
      <c r="AE34" s="940">
        <v>2</v>
      </c>
      <c r="AF34" s="940">
        <f t="shared" si="2"/>
        <v>68</v>
      </c>
      <c r="AG34" s="943">
        <v>25200</v>
      </c>
    </row>
    <row r="35" spans="1:33" s="669" customFormat="1">
      <c r="A35" s="701">
        <v>32</v>
      </c>
      <c r="B35" s="702" t="s">
        <v>4277</v>
      </c>
      <c r="C35" s="709"/>
      <c r="D35" s="727">
        <f t="shared" si="0"/>
        <v>70</v>
      </c>
      <c r="E35" s="704" t="s">
        <v>693</v>
      </c>
      <c r="F35" s="709"/>
      <c r="G35" s="709"/>
      <c r="H35" s="709"/>
      <c r="I35" s="709"/>
      <c r="J35" s="709"/>
      <c r="K35" s="704"/>
      <c r="L35" s="709"/>
      <c r="M35" s="709"/>
      <c r="N35" s="709"/>
      <c r="O35" s="719"/>
      <c r="P35" s="719">
        <v>10</v>
      </c>
      <c r="Q35" s="709"/>
      <c r="R35" s="709"/>
      <c r="S35" s="709"/>
      <c r="T35" s="709">
        <v>50</v>
      </c>
      <c r="U35" s="709">
        <v>10</v>
      </c>
      <c r="V35" s="709"/>
      <c r="W35" s="728">
        <v>13000</v>
      </c>
      <c r="X35" s="727">
        <f t="shared" si="1"/>
        <v>910000</v>
      </c>
      <c r="Y35" s="709"/>
      <c r="Z35" s="709"/>
      <c r="AA35" s="709"/>
      <c r="AB35" s="709"/>
      <c r="AC35" s="699" t="s">
        <v>4236</v>
      </c>
      <c r="AD35" s="940"/>
      <c r="AE35" s="940"/>
      <c r="AF35" s="940">
        <f t="shared" si="2"/>
        <v>70</v>
      </c>
      <c r="AG35" s="943"/>
    </row>
    <row r="36" spans="1:33" s="669" customFormat="1" ht="30">
      <c r="A36" s="701">
        <v>33</v>
      </c>
      <c r="B36" s="702" t="s">
        <v>4278</v>
      </c>
      <c r="C36" s="709"/>
      <c r="D36" s="727">
        <f t="shared" si="0"/>
        <v>70</v>
      </c>
      <c r="E36" s="704" t="s">
        <v>693</v>
      </c>
      <c r="F36" s="709"/>
      <c r="G36" s="709"/>
      <c r="H36" s="709"/>
      <c r="I36" s="709"/>
      <c r="J36" s="709"/>
      <c r="K36" s="704"/>
      <c r="L36" s="709"/>
      <c r="M36" s="709"/>
      <c r="N36" s="709"/>
      <c r="O36" s="719"/>
      <c r="P36" s="719">
        <v>10</v>
      </c>
      <c r="Q36" s="709"/>
      <c r="R36" s="709"/>
      <c r="S36" s="709"/>
      <c r="T36" s="709">
        <v>50</v>
      </c>
      <c r="U36" s="709">
        <v>10</v>
      </c>
      <c r="V36" s="709"/>
      <c r="W36" s="728">
        <v>15000</v>
      </c>
      <c r="X36" s="727">
        <f t="shared" si="1"/>
        <v>1050000</v>
      </c>
      <c r="Y36" s="709"/>
      <c r="Z36" s="709"/>
      <c r="AA36" s="709"/>
      <c r="AB36" s="709"/>
      <c r="AC36" s="699" t="s">
        <v>4236</v>
      </c>
      <c r="AD36" s="940" t="s">
        <v>4753</v>
      </c>
      <c r="AE36" s="940">
        <v>2</v>
      </c>
      <c r="AF36" s="940">
        <f t="shared" si="2"/>
        <v>68</v>
      </c>
      <c r="AG36" s="943">
        <v>25200</v>
      </c>
    </row>
    <row r="37" spans="1:33" s="669" customFormat="1" ht="150">
      <c r="A37" s="704">
        <v>34</v>
      </c>
      <c r="B37" s="720" t="s">
        <v>4393</v>
      </c>
      <c r="C37" s="721" t="s">
        <v>4394</v>
      </c>
      <c r="D37" s="727">
        <f t="shared" si="0"/>
        <v>30</v>
      </c>
      <c r="E37" s="704" t="s">
        <v>286</v>
      </c>
      <c r="F37" s="709"/>
      <c r="G37" s="709"/>
      <c r="H37" s="709"/>
      <c r="I37" s="709"/>
      <c r="J37" s="709"/>
      <c r="K37" s="704"/>
      <c r="L37" s="709">
        <v>20</v>
      </c>
      <c r="M37" s="709">
        <v>5</v>
      </c>
      <c r="N37" s="709">
        <v>5</v>
      </c>
      <c r="O37" s="719"/>
      <c r="P37" s="719"/>
      <c r="Q37" s="709"/>
      <c r="R37" s="709"/>
      <c r="S37" s="709"/>
      <c r="T37" s="709"/>
      <c r="U37" s="709"/>
      <c r="V37" s="709"/>
      <c r="W37" s="728">
        <v>17000</v>
      </c>
      <c r="X37" s="727">
        <f t="shared" si="1"/>
        <v>510000</v>
      </c>
      <c r="Y37" s="709"/>
      <c r="Z37" s="709"/>
      <c r="AA37" s="709"/>
      <c r="AB37" s="709"/>
      <c r="AC37" s="699" t="s">
        <v>4236</v>
      </c>
      <c r="AD37" s="940" t="s">
        <v>4753</v>
      </c>
      <c r="AE37" s="940">
        <v>2</v>
      </c>
      <c r="AF37" s="940">
        <f t="shared" si="2"/>
        <v>28</v>
      </c>
      <c r="AG37" s="943">
        <v>25200</v>
      </c>
    </row>
    <row r="38" spans="1:33" s="669" customFormat="1" ht="30">
      <c r="A38" s="701">
        <v>35</v>
      </c>
      <c r="B38" s="702" t="s">
        <v>696</v>
      </c>
      <c r="C38" s="709"/>
      <c r="D38" s="727">
        <f t="shared" si="0"/>
        <v>10</v>
      </c>
      <c r="E38" s="704" t="s">
        <v>693</v>
      </c>
      <c r="F38" s="709"/>
      <c r="G38" s="709"/>
      <c r="H38" s="709"/>
      <c r="I38" s="709"/>
      <c r="J38" s="709"/>
      <c r="K38" s="704"/>
      <c r="L38" s="709"/>
      <c r="M38" s="709"/>
      <c r="N38" s="709"/>
      <c r="O38" s="719"/>
      <c r="P38" s="719">
        <v>10</v>
      </c>
      <c r="Q38" s="709"/>
      <c r="R38" s="709"/>
      <c r="S38" s="709"/>
      <c r="T38" s="709"/>
      <c r="U38" s="709"/>
      <c r="V38" s="709"/>
      <c r="W38" s="728">
        <v>22000</v>
      </c>
      <c r="X38" s="727">
        <f t="shared" si="1"/>
        <v>220000</v>
      </c>
      <c r="Y38" s="709"/>
      <c r="Z38" s="709"/>
      <c r="AA38" s="709"/>
      <c r="AB38" s="709"/>
      <c r="AC38" s="699" t="s">
        <v>4236</v>
      </c>
      <c r="AD38" s="940" t="s">
        <v>4753</v>
      </c>
      <c r="AE38" s="940">
        <v>3</v>
      </c>
      <c r="AF38" s="940">
        <f t="shared" si="2"/>
        <v>7</v>
      </c>
      <c r="AG38" s="943">
        <v>37800</v>
      </c>
    </row>
    <row r="39" spans="1:33" s="669" customFormat="1" ht="30">
      <c r="A39" s="701">
        <v>36</v>
      </c>
      <c r="B39" s="702" t="s">
        <v>4264</v>
      </c>
      <c r="C39" s="724" t="s">
        <v>4264</v>
      </c>
      <c r="D39" s="727">
        <f t="shared" si="0"/>
        <v>70</v>
      </c>
      <c r="E39" s="704" t="s">
        <v>693</v>
      </c>
      <c r="F39" s="98"/>
      <c r="G39" s="98"/>
      <c r="H39" s="98"/>
      <c r="I39" s="98"/>
      <c r="J39" s="98"/>
      <c r="K39" s="704"/>
      <c r="L39" s="709">
        <v>30</v>
      </c>
      <c r="M39" s="709">
        <v>15</v>
      </c>
      <c r="N39" s="709">
        <v>15</v>
      </c>
      <c r="O39" s="98"/>
      <c r="P39" s="98">
        <v>10</v>
      </c>
      <c r="Q39" s="98"/>
      <c r="R39" s="98"/>
      <c r="S39" s="98"/>
      <c r="T39" s="98"/>
      <c r="U39" s="98"/>
      <c r="V39" s="98"/>
      <c r="W39" s="728">
        <v>4000</v>
      </c>
      <c r="X39" s="727">
        <f t="shared" si="1"/>
        <v>280000</v>
      </c>
      <c r="Y39" s="709"/>
      <c r="Z39" s="709"/>
      <c r="AA39" s="709"/>
      <c r="AB39" s="709"/>
      <c r="AC39" s="699" t="s">
        <v>4236</v>
      </c>
      <c r="AD39" s="940" t="s">
        <v>4753</v>
      </c>
      <c r="AE39" s="940">
        <v>5</v>
      </c>
      <c r="AF39" s="940">
        <f t="shared" si="2"/>
        <v>65</v>
      </c>
      <c r="AG39" s="943">
        <v>14700</v>
      </c>
    </row>
    <row r="40" spans="1:33" s="669" customFormat="1" ht="37.5">
      <c r="A40" s="704">
        <v>37</v>
      </c>
      <c r="B40" s="702" t="s">
        <v>4263</v>
      </c>
      <c r="C40" s="721" t="s">
        <v>4397</v>
      </c>
      <c r="D40" s="727">
        <f t="shared" si="0"/>
        <v>180</v>
      </c>
      <c r="E40" s="704" t="s">
        <v>693</v>
      </c>
      <c r="F40" s="98"/>
      <c r="G40" s="98"/>
      <c r="H40" s="98"/>
      <c r="I40" s="98"/>
      <c r="J40" s="98"/>
      <c r="K40" s="704"/>
      <c r="L40" s="709">
        <v>30</v>
      </c>
      <c r="M40" s="709">
        <v>15</v>
      </c>
      <c r="N40" s="709">
        <v>15</v>
      </c>
      <c r="O40" s="98"/>
      <c r="P40" s="98">
        <v>20</v>
      </c>
      <c r="Q40" s="98"/>
      <c r="R40" s="98"/>
      <c r="S40" s="98"/>
      <c r="T40" s="98"/>
      <c r="U40" s="98"/>
      <c r="V40" s="98">
        <v>100</v>
      </c>
      <c r="W40" s="728">
        <v>1200</v>
      </c>
      <c r="X40" s="727">
        <f t="shared" si="1"/>
        <v>216000</v>
      </c>
      <c r="Y40" s="709"/>
      <c r="Z40" s="709"/>
      <c r="AA40" s="709"/>
      <c r="AB40" s="709"/>
      <c r="AC40" s="699" t="s">
        <v>4236</v>
      </c>
      <c r="AD40" s="940" t="s">
        <v>4753</v>
      </c>
      <c r="AE40" s="940">
        <v>17</v>
      </c>
      <c r="AF40" s="940">
        <f t="shared" si="2"/>
        <v>163</v>
      </c>
      <c r="AG40" s="943">
        <v>35700</v>
      </c>
    </row>
    <row r="41" spans="1:33" s="669" customFormat="1" ht="133.5" customHeight="1">
      <c r="A41" s="701">
        <v>38</v>
      </c>
      <c r="B41" s="702" t="s">
        <v>741</v>
      </c>
      <c r="C41" s="721"/>
      <c r="D41" s="727">
        <f t="shared" si="0"/>
        <v>850</v>
      </c>
      <c r="E41" s="704" t="s">
        <v>693</v>
      </c>
      <c r="F41" s="98"/>
      <c r="G41" s="98"/>
      <c r="H41" s="98"/>
      <c r="I41" s="98"/>
      <c r="J41" s="98"/>
      <c r="K41" s="704"/>
      <c r="L41" s="709">
        <v>50</v>
      </c>
      <c r="M41" s="709">
        <v>25</v>
      </c>
      <c r="N41" s="709">
        <v>25</v>
      </c>
      <c r="O41" s="98"/>
      <c r="P41" s="98">
        <v>50</v>
      </c>
      <c r="Q41" s="98"/>
      <c r="R41" s="98"/>
      <c r="S41" s="98"/>
      <c r="T41" s="709">
        <v>500</v>
      </c>
      <c r="U41" s="709">
        <v>200</v>
      </c>
      <c r="V41" s="98"/>
      <c r="W41" s="728">
        <v>1400</v>
      </c>
      <c r="X41" s="727">
        <f t="shared" si="1"/>
        <v>1190000</v>
      </c>
      <c r="Y41" s="709"/>
      <c r="Z41" s="709"/>
      <c r="AA41" s="709"/>
      <c r="AB41" s="709"/>
      <c r="AC41" s="699" t="s">
        <v>4236</v>
      </c>
      <c r="AD41" s="940" t="s">
        <v>4753</v>
      </c>
      <c r="AE41" s="940">
        <v>400</v>
      </c>
      <c r="AF41" s="940">
        <f t="shared" si="2"/>
        <v>450</v>
      </c>
      <c r="AG41" s="943">
        <v>1176000</v>
      </c>
    </row>
    <row r="42" spans="1:33" ht="37.5">
      <c r="A42" s="701">
        <v>39</v>
      </c>
      <c r="B42" s="702" t="s">
        <v>701</v>
      </c>
      <c r="C42" s="724" t="s">
        <v>701</v>
      </c>
      <c r="D42" s="727">
        <f t="shared" si="0"/>
        <v>80</v>
      </c>
      <c r="E42" s="704" t="s">
        <v>693</v>
      </c>
      <c r="F42" s="98"/>
      <c r="G42" s="98"/>
      <c r="H42" s="98"/>
      <c r="I42" s="98"/>
      <c r="J42" s="98"/>
      <c r="K42" s="704"/>
      <c r="L42" s="709">
        <v>30</v>
      </c>
      <c r="M42" s="709">
        <v>15</v>
      </c>
      <c r="N42" s="709">
        <v>15</v>
      </c>
      <c r="O42" s="98"/>
      <c r="P42" s="98">
        <v>20</v>
      </c>
      <c r="Q42" s="98"/>
      <c r="R42" s="98"/>
      <c r="S42" s="98"/>
      <c r="T42" s="98"/>
      <c r="U42" s="98"/>
      <c r="V42" s="98"/>
      <c r="W42" s="728"/>
      <c r="X42" s="727"/>
      <c r="Y42" s="709"/>
      <c r="Z42" s="709"/>
      <c r="AA42" s="709"/>
      <c r="AB42" s="709"/>
      <c r="AC42" s="699" t="s">
        <v>4236</v>
      </c>
      <c r="AD42" s="940" t="s">
        <v>4753</v>
      </c>
      <c r="AE42" s="940">
        <v>17</v>
      </c>
      <c r="AF42" s="940">
        <f t="shared" si="2"/>
        <v>63</v>
      </c>
      <c r="AG42" s="943">
        <v>178500</v>
      </c>
    </row>
    <row r="43" spans="1:33" ht="37.5">
      <c r="A43" s="704">
        <v>40</v>
      </c>
      <c r="B43" s="702" t="s">
        <v>4265</v>
      </c>
      <c r="C43" s="721" t="s">
        <v>4398</v>
      </c>
      <c r="D43" s="727">
        <f t="shared" si="0"/>
        <v>480</v>
      </c>
      <c r="E43" s="704" t="s">
        <v>286</v>
      </c>
      <c r="F43" s="709"/>
      <c r="G43" s="709"/>
      <c r="H43" s="709"/>
      <c r="I43" s="709"/>
      <c r="J43" s="709"/>
      <c r="K43" s="704"/>
      <c r="L43" s="709">
        <v>100</v>
      </c>
      <c r="M43" s="709">
        <v>25</v>
      </c>
      <c r="N43" s="709">
        <v>25</v>
      </c>
      <c r="O43" s="709"/>
      <c r="P43" s="709">
        <v>30</v>
      </c>
      <c r="Q43" s="709">
        <v>120</v>
      </c>
      <c r="R43" s="709">
        <v>100</v>
      </c>
      <c r="S43" s="709"/>
      <c r="T43" s="709"/>
      <c r="U43" s="709">
        <v>80</v>
      </c>
      <c r="V43" s="709"/>
      <c r="W43" s="728">
        <v>4500</v>
      </c>
      <c r="X43" s="727"/>
      <c r="Y43" s="709"/>
      <c r="Z43" s="709"/>
      <c r="AA43" s="709"/>
      <c r="AB43" s="709"/>
      <c r="AC43" s="699" t="s">
        <v>4236</v>
      </c>
      <c r="AD43" s="940" t="s">
        <v>4753</v>
      </c>
      <c r="AE43" s="940">
        <v>41</v>
      </c>
      <c r="AF43" s="940">
        <f t="shared" si="2"/>
        <v>439</v>
      </c>
      <c r="AG43" s="943">
        <v>172200</v>
      </c>
    </row>
    <row r="44" spans="1:33" s="669" customFormat="1" ht="30">
      <c r="A44" s="701">
        <v>41</v>
      </c>
      <c r="B44" s="702" t="s">
        <v>4380</v>
      </c>
      <c r="C44" s="714" t="s">
        <v>648</v>
      </c>
      <c r="D44" s="727">
        <f t="shared" si="0"/>
        <v>300</v>
      </c>
      <c r="E44" s="704" t="s">
        <v>286</v>
      </c>
      <c r="F44" s="709"/>
      <c r="G44" s="709"/>
      <c r="H44" s="709"/>
      <c r="I44" s="709"/>
      <c r="J44" s="709"/>
      <c r="K44" s="704"/>
      <c r="L44" s="709"/>
      <c r="M44" s="709"/>
      <c r="N44" s="709"/>
      <c r="O44" s="709"/>
      <c r="P44" s="709"/>
      <c r="Q44" s="709">
        <v>200</v>
      </c>
      <c r="R44" s="709">
        <v>100</v>
      </c>
      <c r="S44" s="709"/>
      <c r="T44" s="709"/>
      <c r="U44" s="709"/>
      <c r="V44" s="709"/>
      <c r="W44" s="728">
        <v>16500</v>
      </c>
      <c r="X44" s="727"/>
      <c r="Y44" s="709"/>
      <c r="Z44" s="709"/>
      <c r="AA44" s="709"/>
      <c r="AB44" s="709"/>
      <c r="AC44" s="699" t="s">
        <v>4236</v>
      </c>
      <c r="AD44" s="940" t="s">
        <v>4753</v>
      </c>
      <c r="AE44" s="940">
        <v>25</v>
      </c>
      <c r="AF44" s="940">
        <f t="shared" si="2"/>
        <v>275</v>
      </c>
      <c r="AG44" s="943">
        <v>178500</v>
      </c>
    </row>
    <row r="45" spans="1:33" s="669" customFormat="1">
      <c r="A45" s="701">
        <v>42</v>
      </c>
      <c r="B45" s="702" t="s">
        <v>4366</v>
      </c>
      <c r="C45" s="714" t="s">
        <v>650</v>
      </c>
      <c r="D45" s="727">
        <f t="shared" si="0"/>
        <v>100</v>
      </c>
      <c r="E45" s="704" t="s">
        <v>693</v>
      </c>
      <c r="F45" s="709"/>
      <c r="G45" s="709"/>
      <c r="H45" s="709"/>
      <c r="I45" s="709"/>
      <c r="J45" s="709"/>
      <c r="K45" s="704"/>
      <c r="L45" s="709"/>
      <c r="M45" s="709"/>
      <c r="N45" s="709"/>
      <c r="O45" s="709"/>
      <c r="P45" s="709"/>
      <c r="Q45" s="709">
        <v>50</v>
      </c>
      <c r="R45" s="709">
        <v>50</v>
      </c>
      <c r="S45" s="709"/>
      <c r="T45" s="709"/>
      <c r="U45" s="709"/>
      <c r="V45" s="709"/>
      <c r="W45" s="728">
        <v>15000</v>
      </c>
      <c r="X45" s="727"/>
      <c r="Y45" s="709"/>
      <c r="Z45" s="709"/>
      <c r="AA45" s="709"/>
      <c r="AB45" s="709"/>
      <c r="AC45" s="699" t="s">
        <v>4236</v>
      </c>
      <c r="AD45" s="940"/>
      <c r="AE45" s="940"/>
      <c r="AF45" s="940">
        <f t="shared" si="2"/>
        <v>100</v>
      </c>
      <c r="AG45" s="943"/>
    </row>
    <row r="46" spans="1:33" ht="37.5">
      <c r="A46" s="704">
        <v>43</v>
      </c>
      <c r="B46" s="702" t="s">
        <v>4257</v>
      </c>
      <c r="C46" s="721" t="s">
        <v>4396</v>
      </c>
      <c r="D46" s="727">
        <f t="shared" si="0"/>
        <v>90</v>
      </c>
      <c r="E46" s="704" t="s">
        <v>693</v>
      </c>
      <c r="F46" s="709"/>
      <c r="G46" s="709"/>
      <c r="H46" s="709"/>
      <c r="I46" s="709"/>
      <c r="J46" s="709"/>
      <c r="K46" s="704"/>
      <c r="L46" s="709">
        <v>50</v>
      </c>
      <c r="M46" s="709">
        <v>10</v>
      </c>
      <c r="N46" s="709">
        <v>10</v>
      </c>
      <c r="O46" s="709"/>
      <c r="P46" s="709">
        <v>20</v>
      </c>
      <c r="Q46" s="709"/>
      <c r="R46" s="709"/>
      <c r="S46" s="709"/>
      <c r="T46" s="709"/>
      <c r="U46" s="709"/>
      <c r="V46" s="709"/>
      <c r="W46" s="728">
        <v>18200</v>
      </c>
      <c r="X46" s="727"/>
      <c r="Y46" s="709"/>
      <c r="Z46" s="709"/>
      <c r="AA46" s="709"/>
      <c r="AB46" s="709"/>
      <c r="AC46" s="699" t="s">
        <v>4236</v>
      </c>
      <c r="AD46" s="940" t="s">
        <v>4753</v>
      </c>
      <c r="AE46" s="940">
        <v>9</v>
      </c>
      <c r="AF46" s="940">
        <f t="shared" si="2"/>
        <v>81</v>
      </c>
      <c r="AG46" s="943">
        <v>56700</v>
      </c>
    </row>
    <row r="47" spans="1:33" ht="30">
      <c r="A47" s="701">
        <v>44</v>
      </c>
      <c r="B47" s="702" t="s">
        <v>3144</v>
      </c>
      <c r="C47" s="709"/>
      <c r="D47" s="727">
        <f t="shared" si="0"/>
        <v>176</v>
      </c>
      <c r="E47" s="704" t="s">
        <v>286</v>
      </c>
      <c r="F47" s="709"/>
      <c r="G47" s="709"/>
      <c r="H47" s="709"/>
      <c r="I47" s="709"/>
      <c r="J47" s="709"/>
      <c r="K47" s="704"/>
      <c r="L47" s="709">
        <v>10</v>
      </c>
      <c r="M47" s="709">
        <v>5</v>
      </c>
      <c r="N47" s="709">
        <v>5</v>
      </c>
      <c r="O47" s="709">
        <v>40</v>
      </c>
      <c r="P47" s="709">
        <v>40</v>
      </c>
      <c r="Q47" s="709"/>
      <c r="R47" s="709"/>
      <c r="S47" s="709">
        <v>20</v>
      </c>
      <c r="T47" s="709">
        <v>40</v>
      </c>
      <c r="U47" s="709">
        <v>16</v>
      </c>
      <c r="V47" s="709"/>
      <c r="W47" s="728"/>
      <c r="X47" s="727"/>
      <c r="Y47" s="709"/>
      <c r="Z47" s="709"/>
      <c r="AA47" s="709"/>
      <c r="AB47" s="709"/>
      <c r="AC47" s="699" t="s">
        <v>4236</v>
      </c>
      <c r="AD47" s="940" t="s">
        <v>4753</v>
      </c>
      <c r="AE47" s="940">
        <v>13</v>
      </c>
      <c r="AF47" s="940">
        <f t="shared" si="2"/>
        <v>163</v>
      </c>
      <c r="AG47" s="943">
        <v>764400</v>
      </c>
    </row>
    <row r="48" spans="1:33" ht="56.25">
      <c r="A48" s="701">
        <v>45</v>
      </c>
      <c r="B48" s="702" t="s">
        <v>4253</v>
      </c>
      <c r="C48" s="721" t="s">
        <v>4399</v>
      </c>
      <c r="D48" s="727">
        <f t="shared" si="0"/>
        <v>500</v>
      </c>
      <c r="E48" s="704" t="s">
        <v>286</v>
      </c>
      <c r="F48" s="709"/>
      <c r="G48" s="709"/>
      <c r="H48" s="709"/>
      <c r="I48" s="709"/>
      <c r="J48" s="709"/>
      <c r="K48" s="701"/>
      <c r="L48" s="709">
        <v>250</v>
      </c>
      <c r="M48" s="709">
        <v>75</v>
      </c>
      <c r="N48" s="709">
        <v>75</v>
      </c>
      <c r="O48" s="709"/>
      <c r="P48" s="709">
        <v>100</v>
      </c>
      <c r="Q48" s="709"/>
      <c r="R48" s="709"/>
      <c r="S48" s="709"/>
      <c r="T48" s="709"/>
      <c r="U48" s="709"/>
      <c r="V48" s="709"/>
      <c r="W48" s="728"/>
      <c r="X48" s="727"/>
      <c r="Y48" s="709"/>
      <c r="Z48" s="709"/>
      <c r="AA48" s="709"/>
      <c r="AB48" s="709"/>
      <c r="AC48" s="699" t="s">
        <v>4236</v>
      </c>
      <c r="AD48" s="940" t="s">
        <v>4753</v>
      </c>
      <c r="AE48" s="940">
        <v>50</v>
      </c>
      <c r="AF48" s="940">
        <f t="shared" si="2"/>
        <v>450</v>
      </c>
      <c r="AG48" s="943">
        <v>315000</v>
      </c>
    </row>
    <row r="49" spans="1:33" ht="56.25">
      <c r="A49" s="704">
        <v>46</v>
      </c>
      <c r="B49" s="702" t="s">
        <v>3093</v>
      </c>
      <c r="C49" s="714" t="s">
        <v>4370</v>
      </c>
      <c r="D49" s="727">
        <f t="shared" si="0"/>
        <v>130</v>
      </c>
      <c r="E49" s="704" t="s">
        <v>286</v>
      </c>
      <c r="F49" s="98"/>
      <c r="G49" s="98"/>
      <c r="H49" s="98"/>
      <c r="I49" s="98"/>
      <c r="J49" s="98"/>
      <c r="K49" s="704"/>
      <c r="L49" s="709">
        <v>40</v>
      </c>
      <c r="M49" s="709">
        <v>10</v>
      </c>
      <c r="N49" s="709">
        <v>10</v>
      </c>
      <c r="O49" s="98"/>
      <c r="P49" s="98"/>
      <c r="Q49" s="98">
        <v>40</v>
      </c>
      <c r="R49" s="98"/>
      <c r="S49" s="98"/>
      <c r="T49" s="709">
        <v>30</v>
      </c>
      <c r="U49" s="98"/>
      <c r="V49" s="98"/>
      <c r="W49" s="728"/>
      <c r="X49" s="727"/>
      <c r="Y49" s="709"/>
      <c r="Z49" s="709"/>
      <c r="AA49" s="709"/>
      <c r="AB49" s="709"/>
      <c r="AC49" s="699" t="s">
        <v>4236</v>
      </c>
      <c r="AD49" s="940" t="s">
        <v>4753</v>
      </c>
      <c r="AE49" s="940">
        <v>8</v>
      </c>
      <c r="AF49" s="940">
        <f t="shared" si="2"/>
        <v>122</v>
      </c>
      <c r="AG49" s="943">
        <v>117600</v>
      </c>
    </row>
    <row r="50" spans="1:33" s="705" customFormat="1" ht="30">
      <c r="A50" s="701">
        <v>47</v>
      </c>
      <c r="B50" s="702" t="s">
        <v>4254</v>
      </c>
      <c r="C50" s="98"/>
      <c r="D50" s="727">
        <f t="shared" si="0"/>
        <v>430</v>
      </c>
      <c r="E50" s="704" t="s">
        <v>286</v>
      </c>
      <c r="F50" s="98"/>
      <c r="G50" s="98"/>
      <c r="H50" s="98"/>
      <c r="I50" s="98"/>
      <c r="J50" s="98"/>
      <c r="K50" s="704"/>
      <c r="L50" s="709">
        <v>200</v>
      </c>
      <c r="M50" s="709">
        <v>50</v>
      </c>
      <c r="N50" s="709">
        <v>50</v>
      </c>
      <c r="O50" s="98"/>
      <c r="P50" s="98">
        <v>30</v>
      </c>
      <c r="Q50" s="98"/>
      <c r="R50" s="98"/>
      <c r="S50" s="98"/>
      <c r="T50" s="709">
        <v>60</v>
      </c>
      <c r="U50" s="709">
        <v>40</v>
      </c>
      <c r="V50" s="98"/>
      <c r="W50" s="728"/>
      <c r="X50" s="727"/>
      <c r="Y50" s="709"/>
      <c r="Z50" s="709"/>
      <c r="AA50" s="709"/>
      <c r="AB50" s="709"/>
      <c r="AC50" s="699" t="s">
        <v>4236</v>
      </c>
      <c r="AD50" s="940" t="s">
        <v>4753</v>
      </c>
      <c r="AE50" s="973">
        <v>38</v>
      </c>
      <c r="AF50" s="940">
        <f t="shared" si="2"/>
        <v>392</v>
      </c>
      <c r="AG50" s="974">
        <v>223440</v>
      </c>
    </row>
    <row r="51" spans="1:33" ht="30">
      <c r="A51" s="701">
        <v>48</v>
      </c>
      <c r="B51" s="702" t="s">
        <v>4315</v>
      </c>
      <c r="C51" s="98"/>
      <c r="D51" s="727">
        <f t="shared" si="0"/>
        <v>480</v>
      </c>
      <c r="E51" s="704" t="s">
        <v>286</v>
      </c>
      <c r="F51" s="98"/>
      <c r="G51" s="98"/>
      <c r="H51" s="98"/>
      <c r="I51" s="98"/>
      <c r="J51" s="98"/>
      <c r="K51" s="704"/>
      <c r="L51" s="709">
        <v>200</v>
      </c>
      <c r="M51" s="709">
        <v>25</v>
      </c>
      <c r="N51" s="709">
        <v>25</v>
      </c>
      <c r="O51" s="98"/>
      <c r="P51" s="98">
        <v>30</v>
      </c>
      <c r="Q51" s="98"/>
      <c r="R51" s="98"/>
      <c r="S51" s="98"/>
      <c r="T51" s="709">
        <v>100</v>
      </c>
      <c r="U51" s="709">
        <v>50</v>
      </c>
      <c r="V51" s="98">
        <v>50</v>
      </c>
      <c r="W51" s="728"/>
      <c r="X51" s="727"/>
      <c r="Y51" s="709"/>
      <c r="Z51" s="709"/>
      <c r="AA51" s="709"/>
      <c r="AB51" s="709"/>
      <c r="AC51" s="699" t="s">
        <v>4236</v>
      </c>
      <c r="AD51" s="940" t="s">
        <v>4753</v>
      </c>
      <c r="AE51" s="940">
        <v>61</v>
      </c>
      <c r="AF51" s="940">
        <f t="shared" si="2"/>
        <v>419</v>
      </c>
      <c r="AG51" s="943">
        <v>333060</v>
      </c>
    </row>
    <row r="52" spans="1:33">
      <c r="A52" s="704">
        <v>49</v>
      </c>
      <c r="B52" s="702" t="s">
        <v>4255</v>
      </c>
      <c r="C52" s="709"/>
      <c r="D52" s="727">
        <f t="shared" si="0"/>
        <v>140</v>
      </c>
      <c r="E52" s="704" t="s">
        <v>286</v>
      </c>
      <c r="F52" s="709"/>
      <c r="G52" s="709"/>
      <c r="H52" s="709"/>
      <c r="I52" s="709"/>
      <c r="J52" s="709"/>
      <c r="K52" s="704"/>
      <c r="L52" s="709"/>
      <c r="M52" s="709"/>
      <c r="N52" s="709"/>
      <c r="O52" s="709"/>
      <c r="P52" s="709">
        <v>100</v>
      </c>
      <c r="Q52" s="709">
        <v>40</v>
      </c>
      <c r="R52" s="709"/>
      <c r="S52" s="709"/>
      <c r="T52" s="709"/>
      <c r="U52" s="709"/>
      <c r="V52" s="709"/>
      <c r="W52" s="728"/>
      <c r="X52" s="727"/>
      <c r="Y52" s="709"/>
      <c r="Z52" s="709"/>
      <c r="AA52" s="709"/>
      <c r="AB52" s="709"/>
      <c r="AC52" s="699" t="s">
        <v>4236</v>
      </c>
      <c r="AD52" s="940"/>
      <c r="AE52" s="940"/>
      <c r="AF52" s="940">
        <f t="shared" si="2"/>
        <v>140</v>
      </c>
      <c r="AG52" s="943"/>
    </row>
    <row r="53" spans="1:33" s="669" customFormat="1" ht="131.25">
      <c r="A53" s="701">
        <v>50</v>
      </c>
      <c r="B53" s="725" t="s">
        <v>4401</v>
      </c>
      <c r="C53" s="723" t="s">
        <v>4400</v>
      </c>
      <c r="D53" s="727">
        <f t="shared" si="0"/>
        <v>325</v>
      </c>
      <c r="E53" s="704" t="s">
        <v>286</v>
      </c>
      <c r="F53" s="709"/>
      <c r="G53" s="709"/>
      <c r="H53" s="709"/>
      <c r="I53" s="709"/>
      <c r="J53" s="709"/>
      <c r="K53" s="704"/>
      <c r="L53" s="709">
        <v>225</v>
      </c>
      <c r="M53" s="709">
        <v>50</v>
      </c>
      <c r="N53" s="709">
        <v>50</v>
      </c>
      <c r="O53" s="709"/>
      <c r="P53" s="709"/>
      <c r="Q53" s="709"/>
      <c r="R53" s="709"/>
      <c r="S53" s="709"/>
      <c r="T53" s="709"/>
      <c r="U53" s="709"/>
      <c r="V53" s="709"/>
      <c r="W53" s="728"/>
      <c r="X53" s="727"/>
      <c r="Y53" s="709"/>
      <c r="Z53" s="709"/>
      <c r="AA53" s="709"/>
      <c r="AB53" s="709"/>
      <c r="AC53" s="699" t="s">
        <v>4236</v>
      </c>
      <c r="AD53" s="940" t="s">
        <v>4753</v>
      </c>
      <c r="AE53" s="940">
        <v>27</v>
      </c>
      <c r="AF53" s="940">
        <f t="shared" si="2"/>
        <v>298</v>
      </c>
      <c r="AG53" s="943">
        <v>567000</v>
      </c>
    </row>
    <row r="54" spans="1:33" ht="30">
      <c r="A54" s="701">
        <v>51</v>
      </c>
      <c r="B54" s="702" t="s">
        <v>4330</v>
      </c>
      <c r="C54" s="98"/>
      <c r="D54" s="727">
        <f t="shared" si="0"/>
        <v>190</v>
      </c>
      <c r="E54" s="704" t="s">
        <v>286</v>
      </c>
      <c r="F54" s="98"/>
      <c r="G54" s="98"/>
      <c r="H54" s="98"/>
      <c r="I54" s="98"/>
      <c r="J54" s="98"/>
      <c r="K54" s="704"/>
      <c r="L54" s="98"/>
      <c r="M54" s="98"/>
      <c r="N54" s="98"/>
      <c r="O54" s="98"/>
      <c r="P54" s="98">
        <v>40</v>
      </c>
      <c r="Q54" s="98"/>
      <c r="R54" s="98"/>
      <c r="S54" s="98"/>
      <c r="T54" s="709">
        <v>100</v>
      </c>
      <c r="U54" s="709">
        <v>50</v>
      </c>
      <c r="V54" s="98"/>
      <c r="W54" s="728"/>
      <c r="X54" s="727"/>
      <c r="Y54" s="709"/>
      <c r="Z54" s="709"/>
      <c r="AA54" s="709"/>
      <c r="AB54" s="709"/>
      <c r="AC54" s="699" t="s">
        <v>4236</v>
      </c>
      <c r="AD54" s="940" t="s">
        <v>4753</v>
      </c>
      <c r="AE54" s="940">
        <v>7</v>
      </c>
      <c r="AF54" s="940">
        <f t="shared" si="2"/>
        <v>183</v>
      </c>
      <c r="AG54" s="943">
        <v>35280</v>
      </c>
    </row>
    <row r="55" spans="1:33" ht="56.25">
      <c r="A55" s="704">
        <v>52</v>
      </c>
      <c r="B55" s="702" t="s">
        <v>4345</v>
      </c>
      <c r="C55" s="98" t="s">
        <v>4346</v>
      </c>
      <c r="D55" s="727">
        <f t="shared" si="0"/>
        <v>100</v>
      </c>
      <c r="E55" s="704" t="s">
        <v>4369</v>
      </c>
      <c r="F55" s="98"/>
      <c r="G55" s="98"/>
      <c r="H55" s="98"/>
      <c r="I55" s="98"/>
      <c r="J55" s="98"/>
      <c r="K55" s="704"/>
      <c r="L55" s="98"/>
      <c r="M55" s="98"/>
      <c r="N55" s="98"/>
      <c r="O55" s="98"/>
      <c r="P55" s="98"/>
      <c r="Q55" s="98">
        <v>100</v>
      </c>
      <c r="R55" s="98"/>
      <c r="S55" s="98"/>
      <c r="T55" s="98"/>
      <c r="U55" s="98"/>
      <c r="V55" s="98"/>
      <c r="W55" s="728"/>
      <c r="X55" s="727"/>
      <c r="Y55" s="709"/>
      <c r="Z55" s="709"/>
      <c r="AA55" s="709"/>
      <c r="AB55" s="709"/>
      <c r="AC55" s="699" t="s">
        <v>4236</v>
      </c>
      <c r="AD55" s="940"/>
      <c r="AE55" s="940"/>
      <c r="AF55" s="940">
        <f t="shared" si="2"/>
        <v>100</v>
      </c>
      <c r="AG55" s="943"/>
    </row>
    <row r="56" spans="1:33" ht="75">
      <c r="A56" s="701">
        <v>53</v>
      </c>
      <c r="B56" s="702" t="s">
        <v>4343</v>
      </c>
      <c r="C56" s="98" t="s">
        <v>4344</v>
      </c>
      <c r="D56" s="727">
        <f t="shared" si="0"/>
        <v>124</v>
      </c>
      <c r="E56" s="704" t="s">
        <v>4369</v>
      </c>
      <c r="F56" s="98"/>
      <c r="G56" s="98"/>
      <c r="H56" s="98"/>
      <c r="I56" s="98"/>
      <c r="J56" s="98"/>
      <c r="K56" s="704"/>
      <c r="L56" s="98"/>
      <c r="M56" s="98"/>
      <c r="N56" s="98"/>
      <c r="O56" s="98"/>
      <c r="P56" s="98"/>
      <c r="Q56" s="98">
        <v>100</v>
      </c>
      <c r="R56" s="98">
        <v>24</v>
      </c>
      <c r="S56" s="98"/>
      <c r="T56" s="98"/>
      <c r="U56" s="98"/>
      <c r="V56" s="98"/>
      <c r="W56" s="728"/>
      <c r="X56" s="727"/>
      <c r="Y56" s="709"/>
      <c r="Z56" s="709"/>
      <c r="AA56" s="709"/>
      <c r="AB56" s="709"/>
      <c r="AC56" s="699" t="s">
        <v>4236</v>
      </c>
      <c r="AD56" s="940"/>
      <c r="AE56" s="940"/>
      <c r="AF56" s="940">
        <f t="shared" si="2"/>
        <v>124</v>
      </c>
      <c r="AG56" s="943"/>
    </row>
    <row r="57" spans="1:33" ht="30">
      <c r="A57" s="701">
        <v>54</v>
      </c>
      <c r="B57" s="702" t="s">
        <v>4298</v>
      </c>
      <c r="C57" s="98"/>
      <c r="D57" s="727">
        <f t="shared" si="0"/>
        <v>40</v>
      </c>
      <c r="E57" s="704" t="s">
        <v>693</v>
      </c>
      <c r="F57" s="98"/>
      <c r="G57" s="98"/>
      <c r="H57" s="98"/>
      <c r="I57" s="98"/>
      <c r="J57" s="98"/>
      <c r="K57" s="704"/>
      <c r="L57" s="98"/>
      <c r="M57" s="98"/>
      <c r="N57" s="98"/>
      <c r="O57" s="98"/>
      <c r="P57" s="98"/>
      <c r="Q57" s="98"/>
      <c r="R57" s="98"/>
      <c r="S57" s="98"/>
      <c r="T57" s="709">
        <v>20</v>
      </c>
      <c r="U57" s="709">
        <v>20</v>
      </c>
      <c r="V57" s="98"/>
      <c r="W57" s="728"/>
      <c r="X57" s="727"/>
      <c r="Y57" s="709"/>
      <c r="Z57" s="709"/>
      <c r="AA57" s="709"/>
      <c r="AB57" s="709"/>
      <c r="AC57" s="699" t="s">
        <v>4236</v>
      </c>
      <c r="AD57" s="940" t="s">
        <v>4753</v>
      </c>
      <c r="AE57" s="940">
        <v>3</v>
      </c>
      <c r="AF57" s="940">
        <f t="shared" si="2"/>
        <v>37</v>
      </c>
      <c r="AG57" s="943">
        <v>6300</v>
      </c>
    </row>
    <row r="58" spans="1:33" s="669" customFormat="1" ht="30">
      <c r="A58" s="704">
        <v>55</v>
      </c>
      <c r="B58" s="702" t="s">
        <v>4326</v>
      </c>
      <c r="C58" s="709"/>
      <c r="D58" s="727">
        <f t="shared" si="0"/>
        <v>75</v>
      </c>
      <c r="E58" s="704" t="s">
        <v>286</v>
      </c>
      <c r="F58" s="709"/>
      <c r="G58" s="709"/>
      <c r="H58" s="709"/>
      <c r="I58" s="709"/>
      <c r="J58" s="709"/>
      <c r="K58" s="701"/>
      <c r="L58" s="709"/>
      <c r="M58" s="709"/>
      <c r="N58" s="709"/>
      <c r="O58" s="709"/>
      <c r="P58" s="709"/>
      <c r="Q58" s="709"/>
      <c r="R58" s="709"/>
      <c r="S58" s="709"/>
      <c r="T58" s="709">
        <v>40</v>
      </c>
      <c r="U58" s="709">
        <v>35</v>
      </c>
      <c r="V58" s="709"/>
      <c r="W58" s="728"/>
      <c r="X58" s="727"/>
      <c r="Y58" s="709"/>
      <c r="Z58" s="709"/>
      <c r="AA58" s="709"/>
      <c r="AB58" s="709"/>
      <c r="AC58" s="699" t="s">
        <v>4236</v>
      </c>
      <c r="AD58" s="940" t="s">
        <v>4753</v>
      </c>
      <c r="AE58" s="940">
        <v>10</v>
      </c>
      <c r="AF58" s="940">
        <f t="shared" si="2"/>
        <v>65</v>
      </c>
      <c r="AG58" s="943">
        <v>546000</v>
      </c>
    </row>
    <row r="59" spans="1:33" s="669" customFormat="1" ht="93.75">
      <c r="A59" s="701">
        <v>56</v>
      </c>
      <c r="B59" s="702" t="s">
        <v>4347</v>
      </c>
      <c r="C59" s="98" t="s">
        <v>4348</v>
      </c>
      <c r="D59" s="727">
        <f t="shared" si="0"/>
        <v>100</v>
      </c>
      <c r="E59" s="704" t="s">
        <v>286</v>
      </c>
      <c r="F59" s="709"/>
      <c r="G59" s="709"/>
      <c r="H59" s="709"/>
      <c r="I59" s="709"/>
      <c r="J59" s="709"/>
      <c r="K59" s="701"/>
      <c r="L59" s="709"/>
      <c r="M59" s="709"/>
      <c r="N59" s="709"/>
      <c r="O59" s="709"/>
      <c r="P59" s="709"/>
      <c r="Q59" s="709">
        <v>100</v>
      </c>
      <c r="R59" s="709"/>
      <c r="S59" s="709"/>
      <c r="T59" s="709"/>
      <c r="U59" s="709"/>
      <c r="V59" s="709"/>
      <c r="W59" s="728"/>
      <c r="X59" s="727"/>
      <c r="Y59" s="709"/>
      <c r="Z59" s="709"/>
      <c r="AA59" s="709"/>
      <c r="AB59" s="709"/>
      <c r="AC59" s="699" t="s">
        <v>4236</v>
      </c>
      <c r="AD59" s="940" t="s">
        <v>4753</v>
      </c>
      <c r="AE59" s="940">
        <v>8</v>
      </c>
      <c r="AF59" s="940">
        <f t="shared" si="2"/>
        <v>92</v>
      </c>
      <c r="AG59" s="943">
        <v>16800</v>
      </c>
    </row>
    <row r="60" spans="1:33" s="669" customFormat="1" ht="30">
      <c r="A60" s="701">
        <v>57</v>
      </c>
      <c r="B60" s="702" t="s">
        <v>4328</v>
      </c>
      <c r="C60" s="709"/>
      <c r="D60" s="727">
        <f t="shared" si="0"/>
        <v>50</v>
      </c>
      <c r="E60" s="704" t="s">
        <v>286</v>
      </c>
      <c r="F60" s="709"/>
      <c r="G60" s="709"/>
      <c r="H60" s="709"/>
      <c r="I60" s="709"/>
      <c r="J60" s="709"/>
      <c r="K60" s="701"/>
      <c r="L60" s="709"/>
      <c r="M60" s="709"/>
      <c r="N60" s="709"/>
      <c r="O60" s="709"/>
      <c r="P60" s="709">
        <v>50</v>
      </c>
      <c r="Q60" s="709"/>
      <c r="R60" s="709"/>
      <c r="S60" s="709"/>
      <c r="T60" s="709"/>
      <c r="U60" s="709"/>
      <c r="V60" s="709"/>
      <c r="W60" s="728"/>
      <c r="X60" s="727"/>
      <c r="Y60" s="709"/>
      <c r="Z60" s="709"/>
      <c r="AA60" s="709"/>
      <c r="AB60" s="709"/>
      <c r="AC60" s="699" t="s">
        <v>4236</v>
      </c>
      <c r="AD60" s="940" t="s">
        <v>4753</v>
      </c>
      <c r="AE60" s="940">
        <v>8</v>
      </c>
      <c r="AF60" s="940">
        <f t="shared" si="2"/>
        <v>42</v>
      </c>
      <c r="AG60" s="943">
        <v>16800</v>
      </c>
    </row>
    <row r="61" spans="1:33" s="669" customFormat="1" ht="75">
      <c r="A61" s="704">
        <v>58</v>
      </c>
      <c r="B61" s="726" t="s">
        <v>4436</v>
      </c>
      <c r="C61" s="721" t="s">
        <v>4435</v>
      </c>
      <c r="D61" s="727">
        <f t="shared" si="0"/>
        <v>90</v>
      </c>
      <c r="E61" s="716" t="s">
        <v>2163</v>
      </c>
      <c r="F61" s="709"/>
      <c r="G61" s="709"/>
      <c r="H61" s="709"/>
      <c r="I61" s="709"/>
      <c r="J61" s="709"/>
      <c r="K61" s="701"/>
      <c r="L61" s="709">
        <v>60</v>
      </c>
      <c r="M61" s="709">
        <v>15</v>
      </c>
      <c r="N61" s="709">
        <v>15</v>
      </c>
      <c r="O61" s="709"/>
      <c r="P61" s="709"/>
      <c r="Q61" s="709"/>
      <c r="R61" s="709"/>
      <c r="S61" s="709"/>
      <c r="T61" s="709"/>
      <c r="U61" s="709"/>
      <c r="V61" s="709"/>
      <c r="W61" s="728"/>
      <c r="X61" s="727"/>
      <c r="Y61" s="709"/>
      <c r="Z61" s="709"/>
      <c r="AA61" s="709"/>
      <c r="AB61" s="709"/>
      <c r="AC61" s="699" t="s">
        <v>4236</v>
      </c>
      <c r="AD61" s="940"/>
      <c r="AE61" s="940"/>
      <c r="AF61" s="940">
        <f t="shared" si="2"/>
        <v>90</v>
      </c>
      <c r="AG61" s="943"/>
    </row>
    <row r="62" spans="1:33" ht="30">
      <c r="A62" s="701">
        <v>59</v>
      </c>
      <c r="B62" s="702" t="s">
        <v>4272</v>
      </c>
      <c r="C62" s="709"/>
      <c r="D62" s="727">
        <f t="shared" si="0"/>
        <v>40</v>
      </c>
      <c r="E62" s="704" t="s">
        <v>286</v>
      </c>
      <c r="F62" s="709"/>
      <c r="G62" s="709"/>
      <c r="H62" s="709"/>
      <c r="I62" s="709"/>
      <c r="J62" s="709"/>
      <c r="K62" s="701"/>
      <c r="L62" s="709">
        <v>20</v>
      </c>
      <c r="M62" s="709">
        <v>5</v>
      </c>
      <c r="N62" s="709">
        <v>5</v>
      </c>
      <c r="O62" s="709"/>
      <c r="P62" s="709">
        <v>10</v>
      </c>
      <c r="Q62" s="709"/>
      <c r="R62" s="709"/>
      <c r="S62" s="709"/>
      <c r="T62" s="709"/>
      <c r="U62" s="709"/>
      <c r="V62" s="709"/>
      <c r="W62" s="728"/>
      <c r="X62" s="727"/>
      <c r="Y62" s="709"/>
      <c r="Z62" s="709"/>
      <c r="AA62" s="709"/>
      <c r="AB62" s="709"/>
      <c r="AC62" s="699" t="s">
        <v>4236</v>
      </c>
      <c r="AD62" s="940" t="s">
        <v>4753</v>
      </c>
      <c r="AE62" s="940">
        <v>4</v>
      </c>
      <c r="AF62" s="940">
        <f t="shared" si="2"/>
        <v>36</v>
      </c>
      <c r="AG62" s="943">
        <v>134400</v>
      </c>
    </row>
    <row r="63" spans="1:33" ht="30">
      <c r="A63" s="701">
        <v>60</v>
      </c>
      <c r="B63" s="702" t="s">
        <v>4382</v>
      </c>
      <c r="C63" s="709"/>
      <c r="D63" s="727">
        <f t="shared" si="0"/>
        <v>10</v>
      </c>
      <c r="E63" s="704" t="s">
        <v>286</v>
      </c>
      <c r="F63" s="709"/>
      <c r="G63" s="709"/>
      <c r="H63" s="709"/>
      <c r="I63" s="709"/>
      <c r="J63" s="709"/>
      <c r="K63" s="701"/>
      <c r="L63" s="709"/>
      <c r="M63" s="709"/>
      <c r="N63" s="709"/>
      <c r="O63" s="709"/>
      <c r="P63" s="709"/>
      <c r="Q63" s="709"/>
      <c r="R63" s="709"/>
      <c r="S63" s="709">
        <v>10</v>
      </c>
      <c r="T63" s="709"/>
      <c r="U63" s="709"/>
      <c r="V63" s="709"/>
      <c r="W63" s="728"/>
      <c r="X63" s="727"/>
      <c r="Y63" s="709"/>
      <c r="Z63" s="709"/>
      <c r="AA63" s="709"/>
      <c r="AB63" s="709"/>
      <c r="AC63" s="699" t="s">
        <v>4236</v>
      </c>
      <c r="AD63" s="940" t="s">
        <v>4753</v>
      </c>
      <c r="AE63" s="940">
        <v>2</v>
      </c>
      <c r="AF63" s="940">
        <f t="shared" si="2"/>
        <v>8</v>
      </c>
      <c r="AG63" s="943">
        <v>12600</v>
      </c>
    </row>
    <row r="64" spans="1:33" ht="30">
      <c r="A64" s="704">
        <v>61</v>
      </c>
      <c r="B64" s="702" t="s">
        <v>4383</v>
      </c>
      <c r="C64" s="709"/>
      <c r="D64" s="727">
        <f t="shared" si="0"/>
        <v>180</v>
      </c>
      <c r="E64" s="704" t="s">
        <v>286</v>
      </c>
      <c r="F64" s="709"/>
      <c r="G64" s="709"/>
      <c r="H64" s="709"/>
      <c r="I64" s="709"/>
      <c r="J64" s="709"/>
      <c r="K64" s="704"/>
      <c r="L64" s="709">
        <v>30</v>
      </c>
      <c r="M64" s="709">
        <v>15</v>
      </c>
      <c r="N64" s="709">
        <v>15</v>
      </c>
      <c r="O64" s="709"/>
      <c r="P64" s="709">
        <v>20</v>
      </c>
      <c r="Q64" s="709"/>
      <c r="R64" s="709"/>
      <c r="S64" s="709">
        <v>10</v>
      </c>
      <c r="T64" s="709">
        <v>50</v>
      </c>
      <c r="U64" s="709">
        <v>40</v>
      </c>
      <c r="V64" s="709"/>
      <c r="W64" s="728"/>
      <c r="X64" s="727"/>
      <c r="Y64" s="709"/>
      <c r="Z64" s="709"/>
      <c r="AA64" s="709"/>
      <c r="AB64" s="709"/>
      <c r="AC64" s="699" t="s">
        <v>4236</v>
      </c>
      <c r="AD64" s="940" t="s">
        <v>4753</v>
      </c>
      <c r="AE64" s="940">
        <v>13</v>
      </c>
      <c r="AF64" s="940">
        <f t="shared" si="2"/>
        <v>167</v>
      </c>
      <c r="AG64" s="943">
        <v>81900</v>
      </c>
    </row>
    <row r="65" spans="1:33" ht="30">
      <c r="A65" s="701">
        <v>62</v>
      </c>
      <c r="B65" s="702" t="s">
        <v>4384</v>
      </c>
      <c r="C65" s="709"/>
      <c r="D65" s="727">
        <f t="shared" si="0"/>
        <v>10</v>
      </c>
      <c r="E65" s="704" t="s">
        <v>286</v>
      </c>
      <c r="F65" s="709"/>
      <c r="G65" s="709"/>
      <c r="H65" s="709"/>
      <c r="I65" s="709"/>
      <c r="J65" s="709"/>
      <c r="K65" s="704"/>
      <c r="L65" s="709"/>
      <c r="M65" s="709"/>
      <c r="N65" s="709"/>
      <c r="O65" s="709"/>
      <c r="P65" s="709"/>
      <c r="Q65" s="709"/>
      <c r="R65" s="709"/>
      <c r="S65" s="709">
        <v>10</v>
      </c>
      <c r="T65" s="709"/>
      <c r="U65" s="709"/>
      <c r="V65" s="709"/>
      <c r="W65" s="728"/>
      <c r="X65" s="727"/>
      <c r="Y65" s="709"/>
      <c r="Z65" s="709"/>
      <c r="AA65" s="709"/>
      <c r="AB65" s="709"/>
      <c r="AC65" s="699" t="s">
        <v>4236</v>
      </c>
      <c r="AD65" s="940" t="s">
        <v>4753</v>
      </c>
      <c r="AE65" s="940">
        <v>3</v>
      </c>
      <c r="AF65" s="940">
        <f t="shared" si="2"/>
        <v>7</v>
      </c>
      <c r="AG65" s="943">
        <v>20160</v>
      </c>
    </row>
    <row r="66" spans="1:33" ht="30">
      <c r="A66" s="701">
        <v>63</v>
      </c>
      <c r="B66" s="702" t="s">
        <v>4279</v>
      </c>
      <c r="C66" s="709"/>
      <c r="D66" s="727">
        <f t="shared" si="0"/>
        <v>50</v>
      </c>
      <c r="E66" s="704" t="s">
        <v>286</v>
      </c>
      <c r="F66" s="709"/>
      <c r="G66" s="709"/>
      <c r="H66" s="709"/>
      <c r="I66" s="709"/>
      <c r="J66" s="709"/>
      <c r="K66" s="704"/>
      <c r="L66" s="709"/>
      <c r="M66" s="709"/>
      <c r="N66" s="709"/>
      <c r="O66" s="709"/>
      <c r="P66" s="709">
        <v>10</v>
      </c>
      <c r="Q66" s="709"/>
      <c r="R66" s="709"/>
      <c r="S66" s="709"/>
      <c r="T66" s="709"/>
      <c r="U66" s="709">
        <v>40</v>
      </c>
      <c r="V66" s="709"/>
      <c r="W66" s="728"/>
      <c r="X66" s="727"/>
      <c r="Y66" s="709"/>
      <c r="Z66" s="709"/>
      <c r="AA66" s="709"/>
      <c r="AB66" s="709"/>
      <c r="AC66" s="699" t="s">
        <v>4236</v>
      </c>
      <c r="AD66" s="940" t="s">
        <v>4753</v>
      </c>
      <c r="AE66" s="940">
        <v>2</v>
      </c>
      <c r="AF66" s="940">
        <f t="shared" si="2"/>
        <v>48</v>
      </c>
      <c r="AG66" s="943">
        <v>126000</v>
      </c>
    </row>
    <row r="67" spans="1:33" ht="30">
      <c r="A67" s="704">
        <v>64</v>
      </c>
      <c r="B67" s="702" t="s">
        <v>4281</v>
      </c>
      <c r="C67" s="709"/>
      <c r="D67" s="727">
        <f t="shared" si="0"/>
        <v>100</v>
      </c>
      <c r="E67" s="704" t="s">
        <v>286</v>
      </c>
      <c r="F67" s="709"/>
      <c r="G67" s="709"/>
      <c r="H67" s="709"/>
      <c r="I67" s="709"/>
      <c r="J67" s="709"/>
      <c r="K67" s="704"/>
      <c r="L67" s="709"/>
      <c r="M67" s="709"/>
      <c r="N67" s="709"/>
      <c r="O67" s="709"/>
      <c r="P67" s="709">
        <v>20</v>
      </c>
      <c r="Q67" s="709"/>
      <c r="R67" s="709"/>
      <c r="S67" s="709"/>
      <c r="T67" s="709">
        <v>40</v>
      </c>
      <c r="U67" s="709">
        <v>40</v>
      </c>
      <c r="V67" s="709"/>
      <c r="W67" s="728"/>
      <c r="X67" s="727"/>
      <c r="Y67" s="709"/>
      <c r="Z67" s="709"/>
      <c r="AA67" s="709"/>
      <c r="AB67" s="709"/>
      <c r="AC67" s="699" t="s">
        <v>4236</v>
      </c>
      <c r="AD67" s="940" t="s">
        <v>4753</v>
      </c>
      <c r="AE67" s="940">
        <v>3</v>
      </c>
      <c r="AF67" s="940">
        <f t="shared" si="2"/>
        <v>97</v>
      </c>
      <c r="AG67" s="943">
        <v>18900</v>
      </c>
    </row>
    <row r="68" spans="1:33" s="669" customFormat="1" ht="37.5">
      <c r="A68" s="701">
        <v>65</v>
      </c>
      <c r="B68" s="711" t="s">
        <v>4374</v>
      </c>
      <c r="C68" s="98" t="s">
        <v>643</v>
      </c>
      <c r="D68" s="727">
        <f t="shared" si="0"/>
        <v>4700</v>
      </c>
      <c r="E68" s="704" t="s">
        <v>286</v>
      </c>
      <c r="F68" s="709"/>
      <c r="G68" s="709"/>
      <c r="H68" s="709"/>
      <c r="I68" s="709"/>
      <c r="J68" s="709"/>
      <c r="K68" s="709"/>
      <c r="L68" s="709"/>
      <c r="M68" s="709"/>
      <c r="N68" s="709"/>
      <c r="O68" s="709"/>
      <c r="P68" s="709"/>
      <c r="Q68" s="709">
        <v>2000</v>
      </c>
      <c r="R68" s="709">
        <v>2000</v>
      </c>
      <c r="S68" s="709">
        <v>400</v>
      </c>
      <c r="T68" s="709">
        <v>100</v>
      </c>
      <c r="U68" s="709">
        <v>200</v>
      </c>
      <c r="V68" s="709"/>
      <c r="W68" s="728"/>
      <c r="X68" s="727"/>
      <c r="Y68" s="709"/>
      <c r="Z68" s="709"/>
      <c r="AA68" s="709"/>
      <c r="AB68" s="709"/>
      <c r="AC68" s="699" t="s">
        <v>4236</v>
      </c>
      <c r="AD68" s="940" t="s">
        <v>4753</v>
      </c>
      <c r="AE68" s="940">
        <v>367</v>
      </c>
      <c r="AF68" s="940">
        <f t="shared" si="2"/>
        <v>4333</v>
      </c>
      <c r="AG68" s="943">
        <v>3082800</v>
      </c>
    </row>
    <row r="69" spans="1:33">
      <c r="A69" s="701">
        <v>66</v>
      </c>
      <c r="B69" s="702" t="s">
        <v>4300</v>
      </c>
      <c r="C69" s="709"/>
      <c r="D69" s="727">
        <f t="shared" ref="D69:D132" si="3">K69+L69+M69+N69+O69+P69+Q69+R69+S69+T69+U69+V69</f>
        <v>0</v>
      </c>
      <c r="E69" s="704" t="s">
        <v>693</v>
      </c>
      <c r="F69" s="709"/>
      <c r="G69" s="709"/>
      <c r="H69" s="709"/>
      <c r="I69" s="709"/>
      <c r="J69" s="709"/>
      <c r="K69" s="701"/>
      <c r="L69" s="709"/>
      <c r="M69" s="709"/>
      <c r="N69" s="709"/>
      <c r="O69" s="709"/>
      <c r="P69" s="709"/>
      <c r="Q69" s="709"/>
      <c r="R69" s="709"/>
      <c r="S69" s="709"/>
      <c r="T69" s="709"/>
      <c r="U69" s="709"/>
      <c r="V69" s="709"/>
      <c r="W69" s="728"/>
      <c r="X69" s="727"/>
      <c r="Y69" s="709"/>
      <c r="Z69" s="709"/>
      <c r="AA69" s="709"/>
      <c r="AB69" s="709"/>
      <c r="AC69" s="699" t="s">
        <v>4236</v>
      </c>
      <c r="AD69" s="940"/>
      <c r="AE69" s="940"/>
      <c r="AF69" s="940">
        <f t="shared" ref="AF69:AF132" si="4">D69-AE69</f>
        <v>0</v>
      </c>
      <c r="AG69" s="943"/>
    </row>
    <row r="70" spans="1:33" ht="30">
      <c r="A70" s="704">
        <v>67</v>
      </c>
      <c r="B70" s="702" t="s">
        <v>4269</v>
      </c>
      <c r="C70" s="709"/>
      <c r="D70" s="727">
        <f t="shared" si="3"/>
        <v>10</v>
      </c>
      <c r="E70" s="704" t="s">
        <v>693</v>
      </c>
      <c r="F70" s="709"/>
      <c r="G70" s="709"/>
      <c r="H70" s="709"/>
      <c r="I70" s="709"/>
      <c r="J70" s="709"/>
      <c r="K70" s="704"/>
      <c r="L70" s="709"/>
      <c r="M70" s="709"/>
      <c r="N70" s="709"/>
      <c r="O70" s="709"/>
      <c r="P70" s="709">
        <v>10</v>
      </c>
      <c r="Q70" s="709"/>
      <c r="R70" s="709"/>
      <c r="S70" s="709"/>
      <c r="T70" s="709"/>
      <c r="U70" s="709"/>
      <c r="V70" s="709"/>
      <c r="W70" s="728"/>
      <c r="X70" s="727"/>
      <c r="Y70" s="709"/>
      <c r="Z70" s="709"/>
      <c r="AA70" s="709"/>
      <c r="AB70" s="709"/>
      <c r="AC70" s="699" t="s">
        <v>4236</v>
      </c>
      <c r="AD70" s="940" t="s">
        <v>4753</v>
      </c>
      <c r="AE70" s="940">
        <v>2</v>
      </c>
      <c r="AF70" s="940">
        <f t="shared" si="4"/>
        <v>8</v>
      </c>
      <c r="AG70" s="943">
        <v>12600</v>
      </c>
    </row>
    <row r="71" spans="1:33" ht="131.25">
      <c r="A71" s="701">
        <v>68</v>
      </c>
      <c r="B71" s="702" t="s">
        <v>4270</v>
      </c>
      <c r="C71" s="721" t="s">
        <v>4402</v>
      </c>
      <c r="D71" s="727">
        <f t="shared" si="3"/>
        <v>11010</v>
      </c>
      <c r="E71" s="704" t="s">
        <v>286</v>
      </c>
      <c r="F71" s="709"/>
      <c r="G71" s="709"/>
      <c r="H71" s="709"/>
      <c r="I71" s="709"/>
      <c r="J71" s="709"/>
      <c r="K71" s="704"/>
      <c r="L71" s="709">
        <v>3000</v>
      </c>
      <c r="M71" s="709">
        <v>2500</v>
      </c>
      <c r="N71" s="709">
        <v>2500</v>
      </c>
      <c r="O71" s="709"/>
      <c r="P71" s="709">
        <v>10</v>
      </c>
      <c r="Q71" s="709"/>
      <c r="R71" s="709"/>
      <c r="S71" s="709"/>
      <c r="T71" s="709"/>
      <c r="U71" s="709">
        <v>3000</v>
      </c>
      <c r="V71" s="709"/>
      <c r="W71" s="728"/>
      <c r="X71" s="727"/>
      <c r="Y71" s="709"/>
      <c r="Z71" s="709"/>
      <c r="AA71" s="709"/>
      <c r="AB71" s="709"/>
      <c r="AC71" s="699" t="s">
        <v>4236</v>
      </c>
      <c r="AD71" s="940" t="s">
        <v>4753</v>
      </c>
      <c r="AE71" s="975">
        <f>668+668</f>
        <v>1336</v>
      </c>
      <c r="AF71" s="940">
        <f t="shared" si="4"/>
        <v>9674</v>
      </c>
      <c r="AG71" s="943">
        <f>5611200+4208400</f>
        <v>9819600</v>
      </c>
    </row>
    <row r="72" spans="1:33" s="669" customFormat="1" ht="131.25">
      <c r="A72" s="701">
        <v>69</v>
      </c>
      <c r="B72" s="720" t="s">
        <v>4406</v>
      </c>
      <c r="C72" s="721" t="s">
        <v>4405</v>
      </c>
      <c r="D72" s="727">
        <f t="shared" si="3"/>
        <v>8000</v>
      </c>
      <c r="E72" s="704" t="s">
        <v>286</v>
      </c>
      <c r="F72" s="709"/>
      <c r="G72" s="709"/>
      <c r="H72" s="709"/>
      <c r="I72" s="709"/>
      <c r="J72" s="709"/>
      <c r="K72" s="704"/>
      <c r="L72" s="709">
        <v>3000</v>
      </c>
      <c r="M72" s="709">
        <v>2500</v>
      </c>
      <c r="N72" s="709">
        <v>2500</v>
      </c>
      <c r="O72" s="709"/>
      <c r="P72" s="709"/>
      <c r="Q72" s="709"/>
      <c r="R72" s="709"/>
      <c r="S72" s="709"/>
      <c r="T72" s="709"/>
      <c r="U72" s="709"/>
      <c r="V72" s="709"/>
      <c r="W72" s="728"/>
      <c r="X72" s="727"/>
      <c r="Y72" s="709"/>
      <c r="Z72" s="709"/>
      <c r="AA72" s="709"/>
      <c r="AB72" s="709"/>
      <c r="AC72" s="699" t="s">
        <v>4236</v>
      </c>
      <c r="AD72" s="940" t="s">
        <v>4753</v>
      </c>
      <c r="AE72" s="940">
        <f>333+333</f>
        <v>666</v>
      </c>
      <c r="AF72" s="940">
        <f t="shared" si="4"/>
        <v>7334</v>
      </c>
      <c r="AG72" s="943">
        <f>2097900+2097900</f>
        <v>4195800</v>
      </c>
    </row>
    <row r="73" spans="1:33" s="669" customFormat="1" ht="131.25">
      <c r="A73" s="704">
        <v>70</v>
      </c>
      <c r="B73" s="720" t="s">
        <v>4404</v>
      </c>
      <c r="C73" s="721" t="s">
        <v>4403</v>
      </c>
      <c r="D73" s="727">
        <f t="shared" si="3"/>
        <v>8000</v>
      </c>
      <c r="E73" s="704" t="s">
        <v>286</v>
      </c>
      <c r="F73" s="709"/>
      <c r="G73" s="709"/>
      <c r="H73" s="709"/>
      <c r="I73" s="709"/>
      <c r="J73" s="709"/>
      <c r="K73" s="704"/>
      <c r="L73" s="709">
        <v>3000</v>
      </c>
      <c r="M73" s="709">
        <v>2500</v>
      </c>
      <c r="N73" s="709">
        <v>2500</v>
      </c>
      <c r="O73" s="709"/>
      <c r="P73" s="709"/>
      <c r="Q73" s="709"/>
      <c r="R73" s="709"/>
      <c r="S73" s="709"/>
      <c r="T73" s="709"/>
      <c r="U73" s="709"/>
      <c r="V73" s="709"/>
      <c r="W73" s="728"/>
      <c r="X73" s="727"/>
      <c r="Y73" s="709"/>
      <c r="Z73" s="709"/>
      <c r="AA73" s="709"/>
      <c r="AB73" s="709"/>
      <c r="AC73" s="699" t="s">
        <v>4236</v>
      </c>
      <c r="AD73" s="940" t="s">
        <v>4753</v>
      </c>
      <c r="AE73" s="940">
        <f>333+333</f>
        <v>666</v>
      </c>
      <c r="AF73" s="940">
        <f t="shared" si="4"/>
        <v>7334</v>
      </c>
      <c r="AG73" s="943">
        <f>2797200+2797200</f>
        <v>5594400</v>
      </c>
    </row>
    <row r="74" spans="1:33">
      <c r="A74" s="701">
        <v>71</v>
      </c>
      <c r="B74" s="702" t="s">
        <v>745</v>
      </c>
      <c r="C74" s="721"/>
      <c r="D74" s="727">
        <f t="shared" si="3"/>
        <v>2625</v>
      </c>
      <c r="E74" s="704" t="s">
        <v>286</v>
      </c>
      <c r="F74" s="709"/>
      <c r="G74" s="709"/>
      <c r="H74" s="709"/>
      <c r="I74" s="709"/>
      <c r="J74" s="709"/>
      <c r="K74" s="704"/>
      <c r="L74" s="709">
        <v>1000</v>
      </c>
      <c r="M74" s="709">
        <v>500</v>
      </c>
      <c r="N74" s="709">
        <v>500</v>
      </c>
      <c r="O74" s="709"/>
      <c r="P74" s="709">
        <v>10</v>
      </c>
      <c r="Q74" s="709"/>
      <c r="R74" s="709"/>
      <c r="S74" s="709"/>
      <c r="T74" s="709">
        <v>60</v>
      </c>
      <c r="U74" s="709">
        <v>55</v>
      </c>
      <c r="V74" s="709">
        <v>500</v>
      </c>
      <c r="W74" s="728"/>
      <c r="X74" s="727"/>
      <c r="Y74" s="709"/>
      <c r="Z74" s="709"/>
      <c r="AA74" s="709"/>
      <c r="AB74" s="709"/>
      <c r="AC74" s="699" t="s">
        <v>4236</v>
      </c>
      <c r="AD74" s="940"/>
      <c r="AE74" s="940"/>
      <c r="AF74" s="940">
        <f t="shared" si="4"/>
        <v>2625</v>
      </c>
      <c r="AG74" s="943"/>
    </row>
    <row r="75" spans="1:33">
      <c r="A75" s="701">
        <v>72</v>
      </c>
      <c r="B75" s="702" t="s">
        <v>4271</v>
      </c>
      <c r="C75" s="709"/>
      <c r="D75" s="727">
        <f t="shared" si="3"/>
        <v>10</v>
      </c>
      <c r="E75" s="704" t="s">
        <v>286</v>
      </c>
      <c r="F75" s="709"/>
      <c r="G75" s="709"/>
      <c r="H75" s="709"/>
      <c r="I75" s="709"/>
      <c r="J75" s="709"/>
      <c r="K75" s="704"/>
      <c r="L75" s="709"/>
      <c r="M75" s="709"/>
      <c r="N75" s="709"/>
      <c r="O75" s="709"/>
      <c r="P75" s="709">
        <v>10</v>
      </c>
      <c r="Q75" s="709"/>
      <c r="R75" s="709"/>
      <c r="S75" s="709"/>
      <c r="T75" s="709"/>
      <c r="U75" s="709"/>
      <c r="V75" s="709"/>
      <c r="W75" s="728"/>
      <c r="X75" s="727"/>
      <c r="Y75" s="709"/>
      <c r="Z75" s="709"/>
      <c r="AA75" s="709"/>
      <c r="AB75" s="709"/>
      <c r="AC75" s="699" t="s">
        <v>4236</v>
      </c>
      <c r="AD75" s="940"/>
      <c r="AE75" s="940"/>
      <c r="AF75" s="940">
        <f t="shared" si="4"/>
        <v>10</v>
      </c>
      <c r="AG75" s="943"/>
    </row>
    <row r="76" spans="1:33" s="669" customFormat="1" ht="37.5">
      <c r="A76" s="704">
        <v>73</v>
      </c>
      <c r="B76" s="702" t="s">
        <v>4324</v>
      </c>
      <c r="C76" s="709"/>
      <c r="D76" s="727">
        <f t="shared" si="3"/>
        <v>60</v>
      </c>
      <c r="E76" s="704" t="s">
        <v>693</v>
      </c>
      <c r="F76" s="709"/>
      <c r="G76" s="709"/>
      <c r="H76" s="709"/>
      <c r="I76" s="709"/>
      <c r="J76" s="709"/>
      <c r="K76" s="701"/>
      <c r="L76" s="709"/>
      <c r="M76" s="709"/>
      <c r="N76" s="709"/>
      <c r="O76" s="709"/>
      <c r="P76" s="709"/>
      <c r="Q76" s="709"/>
      <c r="R76" s="709"/>
      <c r="S76" s="709"/>
      <c r="T76" s="709">
        <v>40</v>
      </c>
      <c r="U76" s="709">
        <v>20</v>
      </c>
      <c r="V76" s="709"/>
      <c r="W76" s="728"/>
      <c r="X76" s="727"/>
      <c r="Y76" s="709"/>
      <c r="Z76" s="709"/>
      <c r="AA76" s="709"/>
      <c r="AB76" s="709"/>
      <c r="AC76" s="699" t="s">
        <v>4236</v>
      </c>
      <c r="AD76" s="940"/>
      <c r="AE76" s="940"/>
      <c r="AF76" s="940">
        <f t="shared" si="4"/>
        <v>60</v>
      </c>
      <c r="AG76" s="943"/>
    </row>
    <row r="77" spans="1:33" ht="30">
      <c r="A77" s="701">
        <v>74</v>
      </c>
      <c r="B77" s="702" t="s">
        <v>4282</v>
      </c>
      <c r="C77" s="709"/>
      <c r="D77" s="727">
        <f t="shared" si="3"/>
        <v>110</v>
      </c>
      <c r="E77" s="704" t="s">
        <v>286</v>
      </c>
      <c r="F77" s="709"/>
      <c r="G77" s="709"/>
      <c r="H77" s="709"/>
      <c r="I77" s="709"/>
      <c r="J77" s="709"/>
      <c r="K77" s="704"/>
      <c r="L77" s="709"/>
      <c r="M77" s="709"/>
      <c r="N77" s="709"/>
      <c r="O77" s="709"/>
      <c r="P77" s="709">
        <v>10</v>
      </c>
      <c r="Q77" s="709"/>
      <c r="R77" s="709"/>
      <c r="S77" s="709"/>
      <c r="T77" s="709">
        <v>55</v>
      </c>
      <c r="U77" s="709">
        <v>45</v>
      </c>
      <c r="V77" s="709"/>
      <c r="W77" s="728"/>
      <c r="X77" s="727"/>
      <c r="Y77" s="709"/>
      <c r="Z77" s="709"/>
      <c r="AA77" s="709"/>
      <c r="AB77" s="709"/>
      <c r="AC77" s="699" t="s">
        <v>4236</v>
      </c>
      <c r="AD77" s="940" t="s">
        <v>4753</v>
      </c>
      <c r="AE77" s="940">
        <v>3</v>
      </c>
      <c r="AF77" s="940">
        <f t="shared" si="4"/>
        <v>107</v>
      </c>
      <c r="AG77" s="943">
        <v>50400</v>
      </c>
    </row>
    <row r="78" spans="1:33" ht="30">
      <c r="A78" s="701">
        <v>75</v>
      </c>
      <c r="B78" s="702" t="s">
        <v>4280</v>
      </c>
      <c r="C78" s="709"/>
      <c r="D78" s="727">
        <f t="shared" si="3"/>
        <v>95</v>
      </c>
      <c r="E78" s="704" t="s">
        <v>286</v>
      </c>
      <c r="F78" s="709"/>
      <c r="G78" s="709"/>
      <c r="H78" s="709"/>
      <c r="I78" s="709"/>
      <c r="J78" s="709"/>
      <c r="K78" s="704"/>
      <c r="L78" s="709"/>
      <c r="M78" s="709"/>
      <c r="N78" s="709"/>
      <c r="O78" s="709"/>
      <c r="P78" s="709">
        <v>15</v>
      </c>
      <c r="Q78" s="709"/>
      <c r="R78" s="709"/>
      <c r="S78" s="709"/>
      <c r="T78" s="709">
        <v>40</v>
      </c>
      <c r="U78" s="709">
        <v>40</v>
      </c>
      <c r="V78" s="709"/>
      <c r="W78" s="728"/>
      <c r="X78" s="727"/>
      <c r="Y78" s="709"/>
      <c r="Z78" s="709"/>
      <c r="AA78" s="709"/>
      <c r="AB78" s="709"/>
      <c r="AC78" s="699" t="s">
        <v>4236</v>
      </c>
      <c r="AD78" s="940" t="s">
        <v>4753</v>
      </c>
      <c r="AE78" s="940">
        <v>10</v>
      </c>
      <c r="AF78" s="940">
        <f t="shared" si="4"/>
        <v>85</v>
      </c>
      <c r="AG78" s="943">
        <v>294000</v>
      </c>
    </row>
    <row r="79" spans="1:33" ht="30">
      <c r="A79" s="704">
        <v>76</v>
      </c>
      <c r="B79" s="700" t="s">
        <v>4306</v>
      </c>
      <c r="C79" s="709"/>
      <c r="D79" s="727">
        <f t="shared" si="3"/>
        <v>80</v>
      </c>
      <c r="E79" s="704" t="s">
        <v>286</v>
      </c>
      <c r="F79" s="709"/>
      <c r="G79" s="709"/>
      <c r="H79" s="709"/>
      <c r="I79" s="709"/>
      <c r="J79" s="709"/>
      <c r="K79" s="701"/>
      <c r="L79" s="709"/>
      <c r="M79" s="709"/>
      <c r="N79" s="709"/>
      <c r="O79" s="709"/>
      <c r="P79" s="709"/>
      <c r="Q79" s="709"/>
      <c r="R79" s="709"/>
      <c r="S79" s="709"/>
      <c r="T79" s="709">
        <v>50</v>
      </c>
      <c r="U79" s="709">
        <v>30</v>
      </c>
      <c r="V79" s="709"/>
      <c r="W79" s="728"/>
      <c r="X79" s="727"/>
      <c r="Y79" s="709"/>
      <c r="Z79" s="709"/>
      <c r="AA79" s="709"/>
      <c r="AB79" s="709"/>
      <c r="AC79" s="699" t="s">
        <v>4236</v>
      </c>
      <c r="AD79" s="940" t="s">
        <v>4753</v>
      </c>
      <c r="AE79" s="940">
        <v>7</v>
      </c>
      <c r="AF79" s="940">
        <f t="shared" si="4"/>
        <v>73</v>
      </c>
      <c r="AG79" s="943">
        <v>352800</v>
      </c>
    </row>
    <row r="80" spans="1:33" s="669" customFormat="1" ht="30">
      <c r="A80" s="701">
        <v>77</v>
      </c>
      <c r="B80" s="700" t="s">
        <v>4318</v>
      </c>
      <c r="C80" s="709"/>
      <c r="D80" s="727">
        <f t="shared" si="3"/>
        <v>2100</v>
      </c>
      <c r="E80" s="704" t="s">
        <v>286</v>
      </c>
      <c r="F80" s="709"/>
      <c r="G80" s="709"/>
      <c r="H80" s="709"/>
      <c r="I80" s="709"/>
      <c r="J80" s="709"/>
      <c r="K80" s="701"/>
      <c r="L80" s="709"/>
      <c r="M80" s="709"/>
      <c r="N80" s="709"/>
      <c r="O80" s="709"/>
      <c r="P80" s="709">
        <v>100</v>
      </c>
      <c r="Q80" s="709"/>
      <c r="R80" s="709"/>
      <c r="S80" s="709"/>
      <c r="T80" s="709">
        <v>1000</v>
      </c>
      <c r="U80" s="709">
        <v>1000</v>
      </c>
      <c r="V80" s="709"/>
      <c r="W80" s="728"/>
      <c r="X80" s="727"/>
      <c r="Y80" s="709"/>
      <c r="Z80" s="709"/>
      <c r="AA80" s="709"/>
      <c r="AB80" s="709"/>
      <c r="AC80" s="699" t="s">
        <v>4236</v>
      </c>
      <c r="AD80" s="940" t="s">
        <v>4753</v>
      </c>
      <c r="AE80" s="940">
        <v>183</v>
      </c>
      <c r="AF80" s="940">
        <f t="shared" si="4"/>
        <v>1917</v>
      </c>
      <c r="AG80" s="943">
        <v>6533100</v>
      </c>
    </row>
    <row r="81" spans="1:33" s="669" customFormat="1" ht="30">
      <c r="A81" s="701">
        <v>78</v>
      </c>
      <c r="B81" s="700" t="s">
        <v>4319</v>
      </c>
      <c r="C81" s="709"/>
      <c r="D81" s="727">
        <f t="shared" si="3"/>
        <v>2100</v>
      </c>
      <c r="E81" s="704" t="s">
        <v>286</v>
      </c>
      <c r="F81" s="709"/>
      <c r="G81" s="709"/>
      <c r="H81" s="709"/>
      <c r="I81" s="709"/>
      <c r="J81" s="709"/>
      <c r="K81" s="701"/>
      <c r="L81" s="709"/>
      <c r="M81" s="709"/>
      <c r="N81" s="709"/>
      <c r="O81" s="709"/>
      <c r="P81" s="709">
        <v>100</v>
      </c>
      <c r="Q81" s="709"/>
      <c r="R81" s="709"/>
      <c r="S81" s="709"/>
      <c r="T81" s="709">
        <v>1000</v>
      </c>
      <c r="U81" s="709">
        <v>1000</v>
      </c>
      <c r="V81" s="709"/>
      <c r="W81" s="728"/>
      <c r="X81" s="727"/>
      <c r="Y81" s="709"/>
      <c r="Z81" s="709"/>
      <c r="AA81" s="709"/>
      <c r="AB81" s="709"/>
      <c r="AC81" s="699" t="s">
        <v>4236</v>
      </c>
      <c r="AD81" s="940" t="s">
        <v>4753</v>
      </c>
      <c r="AE81" s="940">
        <v>183</v>
      </c>
      <c r="AF81" s="940">
        <f t="shared" si="4"/>
        <v>1917</v>
      </c>
      <c r="AG81" s="943">
        <v>6533100</v>
      </c>
    </row>
    <row r="82" spans="1:33" s="669" customFormat="1" ht="56.25">
      <c r="A82" s="704">
        <v>79</v>
      </c>
      <c r="B82" s="726" t="s">
        <v>4428</v>
      </c>
      <c r="C82" s="721" t="s">
        <v>4427</v>
      </c>
      <c r="D82" s="727">
        <f t="shared" si="3"/>
        <v>20</v>
      </c>
      <c r="E82" s="704"/>
      <c r="F82" s="709"/>
      <c r="G82" s="709"/>
      <c r="H82" s="709"/>
      <c r="I82" s="709"/>
      <c r="J82" s="709"/>
      <c r="K82" s="701"/>
      <c r="L82" s="709">
        <v>10</v>
      </c>
      <c r="M82" s="709">
        <v>5</v>
      </c>
      <c r="N82" s="709">
        <v>5</v>
      </c>
      <c r="O82" s="709"/>
      <c r="P82" s="709"/>
      <c r="Q82" s="709"/>
      <c r="R82" s="709"/>
      <c r="S82" s="709"/>
      <c r="T82" s="709"/>
      <c r="U82" s="709"/>
      <c r="V82" s="709"/>
      <c r="W82" s="728"/>
      <c r="X82" s="727"/>
      <c r="Y82" s="709"/>
      <c r="Z82" s="709"/>
      <c r="AA82" s="709"/>
      <c r="AB82" s="709"/>
      <c r="AC82" s="699" t="s">
        <v>4236</v>
      </c>
      <c r="AD82" s="940" t="s">
        <v>4753</v>
      </c>
      <c r="AE82" s="940">
        <v>2</v>
      </c>
      <c r="AF82" s="940">
        <f t="shared" si="4"/>
        <v>18</v>
      </c>
      <c r="AG82" s="943">
        <v>71400</v>
      </c>
    </row>
    <row r="83" spans="1:33" s="669" customFormat="1" ht="30">
      <c r="A83" s="701">
        <v>80</v>
      </c>
      <c r="B83" s="702" t="s">
        <v>2198</v>
      </c>
      <c r="C83" s="714" t="s">
        <v>630</v>
      </c>
      <c r="D83" s="727">
        <f t="shared" si="3"/>
        <v>1600</v>
      </c>
      <c r="E83" s="704" t="s">
        <v>286</v>
      </c>
      <c r="F83" s="709"/>
      <c r="G83" s="709"/>
      <c r="H83" s="709"/>
      <c r="I83" s="709"/>
      <c r="J83" s="709"/>
      <c r="K83" s="709"/>
      <c r="L83" s="709"/>
      <c r="M83" s="709"/>
      <c r="N83" s="709"/>
      <c r="O83" s="709"/>
      <c r="P83" s="709"/>
      <c r="Q83" s="709">
        <v>1000</v>
      </c>
      <c r="R83" s="709">
        <v>600</v>
      </c>
      <c r="S83" s="709"/>
      <c r="T83" s="709"/>
      <c r="U83" s="709"/>
      <c r="V83" s="709"/>
      <c r="W83" s="728"/>
      <c r="X83" s="727"/>
      <c r="Y83" s="709"/>
      <c r="Z83" s="709"/>
      <c r="AA83" s="709"/>
      <c r="AB83" s="709"/>
      <c r="AC83" s="699" t="s">
        <v>4236</v>
      </c>
      <c r="AD83" s="940" t="s">
        <v>4753</v>
      </c>
      <c r="AE83" s="940">
        <v>133</v>
      </c>
      <c r="AF83" s="940">
        <f t="shared" si="4"/>
        <v>1467</v>
      </c>
      <c r="AG83" s="943">
        <v>558600</v>
      </c>
    </row>
    <row r="84" spans="1:33" s="669" customFormat="1" ht="30">
      <c r="A84" s="701">
        <v>81</v>
      </c>
      <c r="B84" s="702" t="s">
        <v>2199</v>
      </c>
      <c r="C84" s="714" t="s">
        <v>631</v>
      </c>
      <c r="D84" s="727">
        <f t="shared" si="3"/>
        <v>440</v>
      </c>
      <c r="E84" s="704" t="s">
        <v>286</v>
      </c>
      <c r="F84" s="709"/>
      <c r="G84" s="709"/>
      <c r="H84" s="709"/>
      <c r="I84" s="709"/>
      <c r="J84" s="709"/>
      <c r="K84" s="709"/>
      <c r="L84" s="709"/>
      <c r="M84" s="709"/>
      <c r="N84" s="709"/>
      <c r="O84" s="709"/>
      <c r="P84" s="709"/>
      <c r="Q84" s="709">
        <v>200</v>
      </c>
      <c r="R84" s="709">
        <v>240</v>
      </c>
      <c r="S84" s="709"/>
      <c r="T84" s="709"/>
      <c r="U84" s="709"/>
      <c r="V84" s="709"/>
      <c r="W84" s="728"/>
      <c r="X84" s="727"/>
      <c r="Y84" s="709"/>
      <c r="Z84" s="709"/>
      <c r="AA84" s="709"/>
      <c r="AB84" s="709"/>
      <c r="AC84" s="699" t="s">
        <v>4236</v>
      </c>
      <c r="AD84" s="940" t="s">
        <v>4753</v>
      </c>
      <c r="AE84" s="940">
        <v>37</v>
      </c>
      <c r="AF84" s="940">
        <f t="shared" si="4"/>
        <v>403</v>
      </c>
      <c r="AG84" s="943">
        <v>155400</v>
      </c>
    </row>
    <row r="85" spans="1:33" s="669" customFormat="1" ht="30">
      <c r="A85" s="704">
        <v>82</v>
      </c>
      <c r="B85" s="702" t="s">
        <v>4373</v>
      </c>
      <c r="C85" s="714" t="s">
        <v>632</v>
      </c>
      <c r="D85" s="727">
        <f t="shared" si="3"/>
        <v>400</v>
      </c>
      <c r="E85" s="704" t="s">
        <v>286</v>
      </c>
      <c r="F85" s="709"/>
      <c r="G85" s="709"/>
      <c r="H85" s="709"/>
      <c r="I85" s="709"/>
      <c r="J85" s="709"/>
      <c r="K85" s="709"/>
      <c r="L85" s="709"/>
      <c r="M85" s="709"/>
      <c r="N85" s="709"/>
      <c r="O85" s="709"/>
      <c r="P85" s="709"/>
      <c r="Q85" s="709">
        <v>200</v>
      </c>
      <c r="R85" s="709">
        <v>200</v>
      </c>
      <c r="S85" s="709"/>
      <c r="T85" s="709"/>
      <c r="U85" s="709"/>
      <c r="V85" s="709"/>
      <c r="W85" s="728"/>
      <c r="X85" s="727"/>
      <c r="Y85" s="709"/>
      <c r="Z85" s="709"/>
      <c r="AA85" s="709"/>
      <c r="AB85" s="709"/>
      <c r="AC85" s="699" t="s">
        <v>4236</v>
      </c>
      <c r="AD85" s="940" t="s">
        <v>4753</v>
      </c>
      <c r="AE85" s="940">
        <v>33</v>
      </c>
      <c r="AF85" s="940">
        <f t="shared" si="4"/>
        <v>367</v>
      </c>
      <c r="AG85" s="943">
        <v>138600</v>
      </c>
    </row>
    <row r="86" spans="1:33" s="669" customFormat="1" ht="30">
      <c r="A86" s="701">
        <v>83</v>
      </c>
      <c r="B86" s="702" t="s">
        <v>4337</v>
      </c>
      <c r="C86" s="709"/>
      <c r="D86" s="727">
        <f t="shared" si="3"/>
        <v>275</v>
      </c>
      <c r="E86" s="704" t="s">
        <v>286</v>
      </c>
      <c r="F86" s="709"/>
      <c r="G86" s="709"/>
      <c r="H86" s="709"/>
      <c r="I86" s="709"/>
      <c r="J86" s="709"/>
      <c r="K86" s="709"/>
      <c r="L86" s="709"/>
      <c r="M86" s="709"/>
      <c r="N86" s="709"/>
      <c r="O86" s="709"/>
      <c r="P86" s="709"/>
      <c r="Q86" s="709">
        <v>200</v>
      </c>
      <c r="R86" s="709">
        <v>50</v>
      </c>
      <c r="S86" s="709"/>
      <c r="T86" s="709"/>
      <c r="U86" s="709"/>
      <c r="V86" s="709">
        <v>25</v>
      </c>
      <c r="W86" s="728"/>
      <c r="X86" s="727"/>
      <c r="Y86" s="709"/>
      <c r="Z86" s="709"/>
      <c r="AA86" s="709"/>
      <c r="AB86" s="709"/>
      <c r="AC86" s="699" t="s">
        <v>4236</v>
      </c>
      <c r="AD86" s="940" t="s">
        <v>4753</v>
      </c>
      <c r="AE86" s="940">
        <v>18</v>
      </c>
      <c r="AF86" s="940">
        <f t="shared" si="4"/>
        <v>257</v>
      </c>
      <c r="AG86" s="943">
        <v>75600</v>
      </c>
    </row>
    <row r="87" spans="1:33" s="669" customFormat="1" ht="30">
      <c r="A87" s="701">
        <v>84</v>
      </c>
      <c r="B87" s="702" t="s">
        <v>4336</v>
      </c>
      <c r="C87" s="709"/>
      <c r="D87" s="727">
        <f t="shared" si="3"/>
        <v>25</v>
      </c>
      <c r="E87" s="704" t="s">
        <v>286</v>
      </c>
      <c r="F87" s="709"/>
      <c r="G87" s="709"/>
      <c r="H87" s="709"/>
      <c r="I87" s="709"/>
      <c r="J87" s="709"/>
      <c r="K87" s="709"/>
      <c r="L87" s="709"/>
      <c r="M87" s="709"/>
      <c r="N87" s="709"/>
      <c r="O87" s="709"/>
      <c r="P87" s="709"/>
      <c r="Q87" s="709"/>
      <c r="R87" s="709"/>
      <c r="S87" s="709"/>
      <c r="T87" s="709"/>
      <c r="U87" s="709"/>
      <c r="V87" s="709">
        <v>25</v>
      </c>
      <c r="W87" s="728"/>
      <c r="X87" s="727"/>
      <c r="Y87" s="709"/>
      <c r="Z87" s="709"/>
      <c r="AA87" s="709"/>
      <c r="AB87" s="709"/>
      <c r="AC87" s="699" t="s">
        <v>4236</v>
      </c>
      <c r="AD87" s="940" t="s">
        <v>4753</v>
      </c>
      <c r="AE87" s="940">
        <v>3</v>
      </c>
      <c r="AF87" s="940">
        <f t="shared" si="4"/>
        <v>22</v>
      </c>
      <c r="AG87" s="943">
        <v>12600</v>
      </c>
    </row>
    <row r="88" spans="1:33" s="669" customFormat="1" ht="30">
      <c r="A88" s="704">
        <v>85</v>
      </c>
      <c r="B88" s="702" t="s">
        <v>4353</v>
      </c>
      <c r="C88" s="709"/>
      <c r="D88" s="727">
        <f t="shared" si="3"/>
        <v>200</v>
      </c>
      <c r="E88" s="704"/>
      <c r="F88" s="709"/>
      <c r="G88" s="709"/>
      <c r="H88" s="709"/>
      <c r="I88" s="709"/>
      <c r="J88" s="709"/>
      <c r="K88" s="709"/>
      <c r="L88" s="709"/>
      <c r="M88" s="709"/>
      <c r="N88" s="709"/>
      <c r="O88" s="709"/>
      <c r="P88" s="709"/>
      <c r="Q88" s="709">
        <v>200</v>
      </c>
      <c r="R88" s="709"/>
      <c r="S88" s="709"/>
      <c r="T88" s="709"/>
      <c r="U88" s="709"/>
      <c r="V88" s="709"/>
      <c r="W88" s="728"/>
      <c r="X88" s="727"/>
      <c r="Y88" s="709"/>
      <c r="Z88" s="709"/>
      <c r="AA88" s="709"/>
      <c r="AB88" s="709"/>
      <c r="AC88" s="699" t="s">
        <v>4236</v>
      </c>
      <c r="AD88" s="940" t="s">
        <v>4753</v>
      </c>
      <c r="AE88" s="940">
        <v>17</v>
      </c>
      <c r="AF88" s="940">
        <f t="shared" si="4"/>
        <v>183</v>
      </c>
      <c r="AG88" s="943">
        <v>71400</v>
      </c>
    </row>
    <row r="89" spans="1:33" s="669" customFormat="1" ht="30">
      <c r="A89" s="701">
        <v>86</v>
      </c>
      <c r="B89" s="702" t="s">
        <v>4335</v>
      </c>
      <c r="C89" s="714" t="s">
        <v>634</v>
      </c>
      <c r="D89" s="727">
        <f t="shared" si="3"/>
        <v>275</v>
      </c>
      <c r="E89" s="704" t="s">
        <v>286</v>
      </c>
      <c r="F89" s="709"/>
      <c r="G89" s="709"/>
      <c r="H89" s="709"/>
      <c r="I89" s="709"/>
      <c r="J89" s="709"/>
      <c r="K89" s="709"/>
      <c r="L89" s="709"/>
      <c r="M89" s="709"/>
      <c r="N89" s="709"/>
      <c r="O89" s="709"/>
      <c r="P89" s="709"/>
      <c r="Q89" s="709">
        <v>200</v>
      </c>
      <c r="R89" s="709">
        <v>50</v>
      </c>
      <c r="S89" s="709"/>
      <c r="T89" s="709"/>
      <c r="U89" s="709"/>
      <c r="V89" s="709">
        <v>25</v>
      </c>
      <c r="W89" s="728"/>
      <c r="X89" s="727"/>
      <c r="Y89" s="709"/>
      <c r="Z89" s="709"/>
      <c r="AA89" s="709"/>
      <c r="AB89" s="709"/>
      <c r="AC89" s="699" t="s">
        <v>4236</v>
      </c>
      <c r="AD89" s="940" t="s">
        <v>4753</v>
      </c>
      <c r="AE89" s="940">
        <v>18</v>
      </c>
      <c r="AF89" s="940">
        <f t="shared" si="4"/>
        <v>257</v>
      </c>
      <c r="AG89" s="943">
        <v>75600</v>
      </c>
    </row>
    <row r="90" spans="1:33" s="669" customFormat="1" ht="30">
      <c r="A90" s="701">
        <v>87</v>
      </c>
      <c r="B90" s="702" t="s">
        <v>4341</v>
      </c>
      <c r="C90" s="709"/>
      <c r="D90" s="727">
        <f t="shared" si="3"/>
        <v>380</v>
      </c>
      <c r="E90" s="704" t="s">
        <v>286</v>
      </c>
      <c r="F90" s="709"/>
      <c r="G90" s="709"/>
      <c r="H90" s="709"/>
      <c r="I90" s="709"/>
      <c r="J90" s="709"/>
      <c r="K90" s="709"/>
      <c r="L90" s="709"/>
      <c r="M90" s="709"/>
      <c r="N90" s="709"/>
      <c r="O90" s="709"/>
      <c r="P90" s="709">
        <v>80</v>
      </c>
      <c r="Q90" s="709">
        <v>40</v>
      </c>
      <c r="R90" s="709">
        <v>30</v>
      </c>
      <c r="S90" s="709">
        <v>200</v>
      </c>
      <c r="T90" s="709"/>
      <c r="U90" s="709"/>
      <c r="V90" s="709">
        <v>30</v>
      </c>
      <c r="W90" s="728"/>
      <c r="X90" s="727"/>
      <c r="Y90" s="709"/>
      <c r="Z90" s="709"/>
      <c r="AA90" s="709"/>
      <c r="AB90" s="709"/>
      <c r="AC90" s="699" t="s">
        <v>4236</v>
      </c>
      <c r="AD90" s="940" t="s">
        <v>4753</v>
      </c>
      <c r="AE90" s="940">
        <v>32</v>
      </c>
      <c r="AF90" s="940">
        <f t="shared" si="4"/>
        <v>348</v>
      </c>
      <c r="AG90" s="943">
        <v>672000</v>
      </c>
    </row>
    <row r="91" spans="1:33" s="669" customFormat="1" ht="30">
      <c r="A91" s="704">
        <v>88</v>
      </c>
      <c r="B91" s="702" t="s">
        <v>4241</v>
      </c>
      <c r="C91" s="709"/>
      <c r="D91" s="727">
        <f t="shared" si="3"/>
        <v>750</v>
      </c>
      <c r="E91" s="704" t="s">
        <v>286</v>
      </c>
      <c r="F91" s="709"/>
      <c r="G91" s="709"/>
      <c r="H91" s="709"/>
      <c r="I91" s="709"/>
      <c r="J91" s="709"/>
      <c r="K91" s="704"/>
      <c r="L91" s="709">
        <v>150</v>
      </c>
      <c r="M91" s="709">
        <v>50</v>
      </c>
      <c r="N91" s="709">
        <v>50</v>
      </c>
      <c r="O91" s="709">
        <v>100</v>
      </c>
      <c r="P91" s="709">
        <v>100</v>
      </c>
      <c r="Q91" s="709"/>
      <c r="R91" s="709"/>
      <c r="S91" s="709"/>
      <c r="T91" s="709">
        <v>250</v>
      </c>
      <c r="U91" s="709">
        <v>50</v>
      </c>
      <c r="V91" s="709"/>
      <c r="W91" s="728"/>
      <c r="X91" s="727"/>
      <c r="Y91" s="709"/>
      <c r="Z91" s="709"/>
      <c r="AA91" s="709"/>
      <c r="AB91" s="709"/>
      <c r="AC91" s="699" t="s">
        <v>4236</v>
      </c>
      <c r="AD91" s="940" t="s">
        <v>4753</v>
      </c>
      <c r="AE91" s="940">
        <v>42</v>
      </c>
      <c r="AF91" s="940">
        <f t="shared" si="4"/>
        <v>708</v>
      </c>
      <c r="AG91" s="943">
        <v>529200</v>
      </c>
    </row>
    <row r="92" spans="1:33" s="669" customFormat="1" ht="30">
      <c r="A92" s="701">
        <v>89</v>
      </c>
      <c r="B92" s="702" t="s">
        <v>4242</v>
      </c>
      <c r="C92" s="709"/>
      <c r="D92" s="727">
        <f t="shared" si="3"/>
        <v>400</v>
      </c>
      <c r="E92" s="704" t="s">
        <v>286</v>
      </c>
      <c r="F92" s="709"/>
      <c r="G92" s="709"/>
      <c r="H92" s="709"/>
      <c r="I92" s="709"/>
      <c r="J92" s="709"/>
      <c r="K92" s="704"/>
      <c r="L92" s="709">
        <v>100</v>
      </c>
      <c r="M92" s="709">
        <v>50</v>
      </c>
      <c r="N92" s="709">
        <v>50</v>
      </c>
      <c r="O92" s="709">
        <v>100</v>
      </c>
      <c r="P92" s="709">
        <v>100</v>
      </c>
      <c r="Q92" s="709"/>
      <c r="R92" s="709"/>
      <c r="S92" s="709"/>
      <c r="T92" s="709"/>
      <c r="U92" s="709"/>
      <c r="V92" s="709"/>
      <c r="W92" s="728"/>
      <c r="X92" s="727"/>
      <c r="Y92" s="709"/>
      <c r="Z92" s="709"/>
      <c r="AA92" s="709"/>
      <c r="AB92" s="709"/>
      <c r="AC92" s="699" t="s">
        <v>4236</v>
      </c>
      <c r="AD92" s="940" t="s">
        <v>4753</v>
      </c>
      <c r="AE92" s="940">
        <v>33</v>
      </c>
      <c r="AF92" s="940">
        <f t="shared" si="4"/>
        <v>367</v>
      </c>
      <c r="AG92" s="943">
        <v>415800</v>
      </c>
    </row>
    <row r="93" spans="1:33" ht="30">
      <c r="A93" s="701">
        <v>90</v>
      </c>
      <c r="B93" s="702" t="s">
        <v>4239</v>
      </c>
      <c r="C93" s="709"/>
      <c r="D93" s="727">
        <f t="shared" si="3"/>
        <v>3950</v>
      </c>
      <c r="E93" s="704" t="s">
        <v>286</v>
      </c>
      <c r="F93" s="709"/>
      <c r="G93" s="709"/>
      <c r="H93" s="709"/>
      <c r="I93" s="709"/>
      <c r="J93" s="709"/>
      <c r="K93" s="704"/>
      <c r="L93" s="709">
        <v>600</v>
      </c>
      <c r="M93" s="709">
        <v>350</v>
      </c>
      <c r="N93" s="709">
        <v>300</v>
      </c>
      <c r="O93" s="709">
        <v>600</v>
      </c>
      <c r="P93" s="709">
        <v>600</v>
      </c>
      <c r="Q93" s="709"/>
      <c r="R93" s="709"/>
      <c r="S93" s="709">
        <v>200</v>
      </c>
      <c r="T93" s="709">
        <v>500</v>
      </c>
      <c r="U93" s="709">
        <v>800</v>
      </c>
      <c r="V93" s="709"/>
      <c r="W93" s="728"/>
      <c r="X93" s="727"/>
      <c r="Y93" s="709"/>
      <c r="Z93" s="709"/>
      <c r="AA93" s="709"/>
      <c r="AB93" s="709"/>
      <c r="AC93" s="699" t="s">
        <v>4236</v>
      </c>
      <c r="AD93" s="940" t="s">
        <v>4753</v>
      </c>
      <c r="AE93" s="940">
        <v>349</v>
      </c>
      <c r="AF93" s="940">
        <f t="shared" si="4"/>
        <v>3601</v>
      </c>
      <c r="AG93" s="943">
        <v>4397400</v>
      </c>
    </row>
    <row r="94" spans="1:33" s="669" customFormat="1" ht="112.5">
      <c r="A94" s="704">
        <v>91</v>
      </c>
      <c r="B94" s="702" t="s">
        <v>4248</v>
      </c>
      <c r="C94" s="721" t="s">
        <v>4430</v>
      </c>
      <c r="D94" s="727">
        <f t="shared" si="3"/>
        <v>3450</v>
      </c>
      <c r="E94" s="704" t="s">
        <v>286</v>
      </c>
      <c r="F94" s="709"/>
      <c r="G94" s="709"/>
      <c r="H94" s="709"/>
      <c r="I94" s="709"/>
      <c r="J94" s="709"/>
      <c r="K94" s="704"/>
      <c r="L94" s="709">
        <v>2050</v>
      </c>
      <c r="M94" s="709">
        <v>600</v>
      </c>
      <c r="N94" s="709">
        <v>600</v>
      </c>
      <c r="O94" s="709">
        <v>100</v>
      </c>
      <c r="P94" s="709">
        <v>100</v>
      </c>
      <c r="Q94" s="709"/>
      <c r="R94" s="709"/>
      <c r="S94" s="709"/>
      <c r="T94" s="709"/>
      <c r="U94" s="709"/>
      <c r="V94" s="709"/>
      <c r="W94" s="728"/>
      <c r="X94" s="727"/>
      <c r="Y94" s="709"/>
      <c r="Z94" s="709"/>
      <c r="AA94" s="709"/>
      <c r="AB94" s="709"/>
      <c r="AC94" s="699" t="s">
        <v>4236</v>
      </c>
      <c r="AD94" s="940" t="s">
        <v>4753</v>
      </c>
      <c r="AE94" s="940">
        <v>350</v>
      </c>
      <c r="AF94" s="940">
        <f t="shared" si="4"/>
        <v>3100</v>
      </c>
      <c r="AG94" s="943">
        <v>2940000</v>
      </c>
    </row>
    <row r="95" spans="1:33" ht="30">
      <c r="A95" s="701">
        <v>92</v>
      </c>
      <c r="B95" s="702" t="s">
        <v>4240</v>
      </c>
      <c r="C95" s="709"/>
      <c r="D95" s="727">
        <f t="shared" si="3"/>
        <v>2100</v>
      </c>
      <c r="E95" s="704" t="s">
        <v>286</v>
      </c>
      <c r="F95" s="709"/>
      <c r="G95" s="709"/>
      <c r="H95" s="709"/>
      <c r="I95" s="709"/>
      <c r="J95" s="709"/>
      <c r="K95" s="704"/>
      <c r="L95" s="709">
        <v>500</v>
      </c>
      <c r="M95" s="709">
        <v>250</v>
      </c>
      <c r="N95" s="709">
        <v>250</v>
      </c>
      <c r="O95" s="709">
        <v>500</v>
      </c>
      <c r="P95" s="709">
        <v>500</v>
      </c>
      <c r="Q95" s="709"/>
      <c r="R95" s="709"/>
      <c r="S95" s="709"/>
      <c r="T95" s="709"/>
      <c r="U95" s="709"/>
      <c r="V95" s="709">
        <v>100</v>
      </c>
      <c r="W95" s="728"/>
      <c r="X95" s="727"/>
      <c r="Y95" s="709"/>
      <c r="Z95" s="709"/>
      <c r="AA95" s="709"/>
      <c r="AB95" s="709"/>
      <c r="AC95" s="699" t="s">
        <v>4236</v>
      </c>
      <c r="AD95" s="940" t="s">
        <v>4753</v>
      </c>
      <c r="AE95" s="940">
        <v>190</v>
      </c>
      <c r="AF95" s="940">
        <f t="shared" si="4"/>
        <v>1910</v>
      </c>
      <c r="AG95" s="943">
        <v>2394000</v>
      </c>
    </row>
    <row r="96" spans="1:33" ht="37.5">
      <c r="A96" s="701">
        <v>93</v>
      </c>
      <c r="B96" s="702" t="s">
        <v>4249</v>
      </c>
      <c r="C96" s="721" t="s">
        <v>4431</v>
      </c>
      <c r="D96" s="727">
        <f t="shared" si="3"/>
        <v>500</v>
      </c>
      <c r="E96" s="704" t="s">
        <v>286</v>
      </c>
      <c r="F96" s="709"/>
      <c r="G96" s="709"/>
      <c r="H96" s="709"/>
      <c r="I96" s="709"/>
      <c r="J96" s="709"/>
      <c r="K96" s="704"/>
      <c r="L96" s="709">
        <v>200</v>
      </c>
      <c r="M96" s="709">
        <v>50</v>
      </c>
      <c r="N96" s="709">
        <v>50</v>
      </c>
      <c r="O96" s="709">
        <v>100</v>
      </c>
      <c r="P96" s="709">
        <v>100</v>
      </c>
      <c r="Q96" s="709"/>
      <c r="R96" s="709"/>
      <c r="S96" s="709"/>
      <c r="T96" s="709"/>
      <c r="U96" s="709"/>
      <c r="V96" s="709"/>
      <c r="W96" s="728"/>
      <c r="X96" s="727"/>
      <c r="Y96" s="709"/>
      <c r="Z96" s="709"/>
      <c r="AA96" s="709"/>
      <c r="AB96" s="709"/>
      <c r="AC96" s="699" t="s">
        <v>4236</v>
      </c>
      <c r="AD96" s="940" t="s">
        <v>4753</v>
      </c>
      <c r="AE96" s="940">
        <v>42</v>
      </c>
      <c r="AF96" s="940">
        <f t="shared" si="4"/>
        <v>458</v>
      </c>
      <c r="AG96" s="943">
        <v>441000</v>
      </c>
    </row>
    <row r="97" spans="1:33">
      <c r="A97" s="704">
        <v>94</v>
      </c>
      <c r="B97" s="700" t="s">
        <v>4308</v>
      </c>
      <c r="C97" s="709"/>
      <c r="D97" s="727">
        <f t="shared" si="3"/>
        <v>0</v>
      </c>
      <c r="E97" s="704" t="s">
        <v>286</v>
      </c>
      <c r="F97" s="709"/>
      <c r="G97" s="709"/>
      <c r="H97" s="709"/>
      <c r="I97" s="709"/>
      <c r="J97" s="709"/>
      <c r="K97" s="701"/>
      <c r="L97" s="709"/>
      <c r="M97" s="709"/>
      <c r="N97" s="709"/>
      <c r="O97" s="709"/>
      <c r="P97" s="709"/>
      <c r="Q97" s="709"/>
      <c r="R97" s="709"/>
      <c r="S97" s="709"/>
      <c r="T97" s="709"/>
      <c r="U97" s="709"/>
      <c r="V97" s="709"/>
      <c r="W97" s="728"/>
      <c r="X97" s="727"/>
      <c r="Y97" s="709"/>
      <c r="Z97" s="709"/>
      <c r="AA97" s="709"/>
      <c r="AB97" s="709"/>
      <c r="AC97" s="699" t="s">
        <v>4236</v>
      </c>
      <c r="AD97" s="940"/>
      <c r="AE97" s="940"/>
      <c r="AF97" s="940">
        <f t="shared" si="4"/>
        <v>0</v>
      </c>
      <c r="AG97" s="943"/>
    </row>
    <row r="98" spans="1:33" ht="37.5">
      <c r="A98" s="701">
        <v>95</v>
      </c>
      <c r="B98" s="702" t="s">
        <v>4285</v>
      </c>
      <c r="C98" s="709"/>
      <c r="D98" s="727">
        <f t="shared" si="3"/>
        <v>10</v>
      </c>
      <c r="E98" s="704" t="s">
        <v>286</v>
      </c>
      <c r="F98" s="709"/>
      <c r="G98" s="709"/>
      <c r="H98" s="709"/>
      <c r="I98" s="709"/>
      <c r="J98" s="709"/>
      <c r="K98" s="704"/>
      <c r="L98" s="709"/>
      <c r="M98" s="709"/>
      <c r="N98" s="709"/>
      <c r="O98" s="709"/>
      <c r="P98" s="709">
        <v>10</v>
      </c>
      <c r="Q98" s="709"/>
      <c r="R98" s="709"/>
      <c r="S98" s="709"/>
      <c r="T98" s="709"/>
      <c r="U98" s="709"/>
      <c r="V98" s="709"/>
      <c r="W98" s="728"/>
      <c r="X98" s="727"/>
      <c r="Y98" s="709"/>
      <c r="Z98" s="709"/>
      <c r="AA98" s="709"/>
      <c r="AB98" s="709"/>
      <c r="AC98" s="699" t="s">
        <v>4236</v>
      </c>
      <c r="AD98" s="940" t="s">
        <v>4753</v>
      </c>
      <c r="AE98" s="940">
        <v>5</v>
      </c>
      <c r="AF98" s="940">
        <f t="shared" si="4"/>
        <v>5</v>
      </c>
      <c r="AG98" s="943">
        <v>31500</v>
      </c>
    </row>
    <row r="99" spans="1:33" ht="37.5">
      <c r="A99" s="701">
        <v>96</v>
      </c>
      <c r="B99" s="702" t="s">
        <v>4284</v>
      </c>
      <c r="C99" s="709"/>
      <c r="D99" s="727">
        <f t="shared" si="3"/>
        <v>110</v>
      </c>
      <c r="E99" s="704" t="s">
        <v>286</v>
      </c>
      <c r="F99" s="709"/>
      <c r="G99" s="709"/>
      <c r="H99" s="709"/>
      <c r="I99" s="709"/>
      <c r="J99" s="709"/>
      <c r="K99" s="704"/>
      <c r="L99" s="709"/>
      <c r="M99" s="709"/>
      <c r="N99" s="709"/>
      <c r="O99" s="709"/>
      <c r="P99" s="709">
        <v>10</v>
      </c>
      <c r="Q99" s="709"/>
      <c r="R99" s="709"/>
      <c r="S99" s="709"/>
      <c r="T99" s="709"/>
      <c r="U99" s="709">
        <v>100</v>
      </c>
      <c r="V99" s="709"/>
      <c r="W99" s="728"/>
      <c r="X99" s="727"/>
      <c r="Y99" s="709"/>
      <c r="Z99" s="709"/>
      <c r="AA99" s="709"/>
      <c r="AB99" s="709"/>
      <c r="AC99" s="699" t="s">
        <v>4236</v>
      </c>
      <c r="AD99" s="940" t="s">
        <v>4753</v>
      </c>
      <c r="AE99" s="940">
        <v>25</v>
      </c>
      <c r="AF99" s="940">
        <f t="shared" si="4"/>
        <v>85</v>
      </c>
      <c r="AG99" s="943">
        <v>157500</v>
      </c>
    </row>
    <row r="100" spans="1:33" ht="30">
      <c r="A100" s="704">
        <v>97</v>
      </c>
      <c r="B100" s="702" t="s">
        <v>4299</v>
      </c>
      <c r="C100" s="709"/>
      <c r="D100" s="727">
        <f t="shared" si="3"/>
        <v>40</v>
      </c>
      <c r="E100" s="704" t="s">
        <v>693</v>
      </c>
      <c r="F100" s="709"/>
      <c r="G100" s="709"/>
      <c r="H100" s="709"/>
      <c r="I100" s="709"/>
      <c r="J100" s="709"/>
      <c r="K100" s="701"/>
      <c r="L100" s="709"/>
      <c r="M100" s="709"/>
      <c r="N100" s="709"/>
      <c r="O100" s="709"/>
      <c r="P100" s="709"/>
      <c r="Q100" s="709"/>
      <c r="R100" s="709"/>
      <c r="S100" s="709"/>
      <c r="T100" s="709">
        <v>20</v>
      </c>
      <c r="U100" s="709">
        <v>20</v>
      </c>
      <c r="V100" s="709"/>
      <c r="W100" s="728"/>
      <c r="X100" s="727"/>
      <c r="Y100" s="709"/>
      <c r="Z100" s="709"/>
      <c r="AA100" s="709"/>
      <c r="AB100" s="709"/>
      <c r="AC100" s="699" t="s">
        <v>4236</v>
      </c>
      <c r="AD100" s="940" t="s">
        <v>4753</v>
      </c>
      <c r="AE100" s="940">
        <v>10</v>
      </c>
      <c r="AF100" s="940">
        <f t="shared" si="4"/>
        <v>30</v>
      </c>
      <c r="AG100" s="943">
        <v>420000</v>
      </c>
    </row>
    <row r="101" spans="1:33" s="669" customFormat="1" ht="30">
      <c r="A101" s="701">
        <v>98</v>
      </c>
      <c r="B101" s="700" t="s">
        <v>4316</v>
      </c>
      <c r="C101" s="709"/>
      <c r="D101" s="727">
        <f t="shared" si="3"/>
        <v>500</v>
      </c>
      <c r="E101" s="704" t="s">
        <v>286</v>
      </c>
      <c r="F101" s="709"/>
      <c r="G101" s="709"/>
      <c r="H101" s="709"/>
      <c r="I101" s="709"/>
      <c r="J101" s="709"/>
      <c r="K101" s="701"/>
      <c r="L101" s="709"/>
      <c r="M101" s="709"/>
      <c r="N101" s="709"/>
      <c r="O101" s="709"/>
      <c r="P101" s="709">
        <v>100</v>
      </c>
      <c r="Q101" s="709"/>
      <c r="R101" s="709"/>
      <c r="S101" s="709"/>
      <c r="T101" s="709">
        <v>200</v>
      </c>
      <c r="U101" s="709">
        <v>200</v>
      </c>
      <c r="V101" s="709"/>
      <c r="W101" s="728"/>
      <c r="X101" s="727"/>
      <c r="Y101" s="709"/>
      <c r="Z101" s="709"/>
      <c r="AA101" s="709"/>
      <c r="AB101" s="709"/>
      <c r="AC101" s="699" t="s">
        <v>4236</v>
      </c>
      <c r="AD101" s="940" t="s">
        <v>4753</v>
      </c>
      <c r="AE101" s="940">
        <v>225</v>
      </c>
      <c r="AF101" s="940">
        <f t="shared" si="4"/>
        <v>275</v>
      </c>
      <c r="AG101" s="943">
        <v>141750</v>
      </c>
    </row>
    <row r="102" spans="1:33" s="669" customFormat="1" ht="30">
      <c r="A102" s="701">
        <v>99</v>
      </c>
      <c r="B102" s="700" t="s">
        <v>4317</v>
      </c>
      <c r="C102" s="709"/>
      <c r="D102" s="727">
        <f t="shared" si="3"/>
        <v>500</v>
      </c>
      <c r="E102" s="704" t="s">
        <v>286</v>
      </c>
      <c r="F102" s="709"/>
      <c r="G102" s="709"/>
      <c r="H102" s="709"/>
      <c r="I102" s="709"/>
      <c r="J102" s="709"/>
      <c r="K102" s="701"/>
      <c r="L102" s="709"/>
      <c r="M102" s="709"/>
      <c r="N102" s="709"/>
      <c r="O102" s="709"/>
      <c r="P102" s="709">
        <v>100</v>
      </c>
      <c r="Q102" s="709"/>
      <c r="R102" s="709"/>
      <c r="S102" s="709"/>
      <c r="T102" s="709">
        <v>200</v>
      </c>
      <c r="U102" s="709">
        <v>200</v>
      </c>
      <c r="V102" s="709"/>
      <c r="W102" s="728"/>
      <c r="X102" s="727"/>
      <c r="Y102" s="709"/>
      <c r="Z102" s="709"/>
      <c r="AA102" s="709"/>
      <c r="AB102" s="709"/>
      <c r="AC102" s="699" t="s">
        <v>4236</v>
      </c>
      <c r="AD102" s="940" t="s">
        <v>4753</v>
      </c>
      <c r="AE102" s="940">
        <v>125</v>
      </c>
      <c r="AF102" s="940">
        <f t="shared" si="4"/>
        <v>375</v>
      </c>
      <c r="AG102" s="943">
        <v>52500</v>
      </c>
    </row>
    <row r="103" spans="1:33" s="669" customFormat="1" ht="75">
      <c r="A103" s="704">
        <v>100</v>
      </c>
      <c r="B103" s="711" t="s">
        <v>4354</v>
      </c>
      <c r="C103" s="98" t="s">
        <v>4355</v>
      </c>
      <c r="D103" s="727">
        <f t="shared" si="3"/>
        <v>800</v>
      </c>
      <c r="E103" s="704" t="s">
        <v>286</v>
      </c>
      <c r="F103" s="709"/>
      <c r="G103" s="709"/>
      <c r="H103" s="709"/>
      <c r="I103" s="709"/>
      <c r="J103" s="709"/>
      <c r="K103" s="709"/>
      <c r="L103" s="709"/>
      <c r="M103" s="709"/>
      <c r="N103" s="709"/>
      <c r="O103" s="709"/>
      <c r="P103" s="709"/>
      <c r="Q103" s="709">
        <v>500</v>
      </c>
      <c r="R103" s="709"/>
      <c r="S103" s="709"/>
      <c r="T103" s="709">
        <v>100</v>
      </c>
      <c r="U103" s="709">
        <v>200</v>
      </c>
      <c r="V103" s="709"/>
      <c r="W103" s="728"/>
      <c r="X103" s="727"/>
      <c r="Y103" s="709"/>
      <c r="Z103" s="709"/>
      <c r="AA103" s="709"/>
      <c r="AB103" s="709"/>
      <c r="AC103" s="699" t="s">
        <v>4236</v>
      </c>
      <c r="AD103" s="940"/>
      <c r="AE103" s="940"/>
      <c r="AF103" s="940">
        <f t="shared" si="4"/>
        <v>800</v>
      </c>
      <c r="AG103" s="943"/>
    </row>
    <row r="104" spans="1:33" s="669" customFormat="1" ht="75">
      <c r="A104" s="701">
        <v>101</v>
      </c>
      <c r="B104" s="711" t="s">
        <v>4356</v>
      </c>
      <c r="C104" s="98" t="s">
        <v>4357</v>
      </c>
      <c r="D104" s="727">
        <f t="shared" si="3"/>
        <v>820</v>
      </c>
      <c r="E104" s="704" t="s">
        <v>286</v>
      </c>
      <c r="F104" s="709"/>
      <c r="G104" s="709"/>
      <c r="H104" s="709"/>
      <c r="I104" s="709"/>
      <c r="J104" s="709"/>
      <c r="K104" s="709"/>
      <c r="L104" s="709">
        <v>10</v>
      </c>
      <c r="M104" s="709">
        <v>5</v>
      </c>
      <c r="N104" s="709">
        <v>5</v>
      </c>
      <c r="O104" s="709"/>
      <c r="P104" s="709"/>
      <c r="Q104" s="709">
        <v>500</v>
      </c>
      <c r="R104" s="709"/>
      <c r="S104" s="709"/>
      <c r="T104" s="709">
        <v>100</v>
      </c>
      <c r="U104" s="709">
        <v>200</v>
      </c>
      <c r="V104" s="709"/>
      <c r="W104" s="728"/>
      <c r="X104" s="727"/>
      <c r="Y104" s="709"/>
      <c r="Z104" s="709"/>
      <c r="AA104" s="709"/>
      <c r="AB104" s="709"/>
      <c r="AC104" s="699" t="s">
        <v>4236</v>
      </c>
      <c r="AD104" s="940" t="s">
        <v>4753</v>
      </c>
      <c r="AE104" s="940">
        <v>105</v>
      </c>
      <c r="AF104" s="940">
        <f t="shared" si="4"/>
        <v>715</v>
      </c>
      <c r="AG104" s="943">
        <v>52920</v>
      </c>
    </row>
    <row r="105" spans="1:33" s="669" customFormat="1" ht="75">
      <c r="A105" s="701">
        <v>102</v>
      </c>
      <c r="B105" s="711" t="s">
        <v>4358</v>
      </c>
      <c r="C105" s="98" t="s">
        <v>4359</v>
      </c>
      <c r="D105" s="727">
        <f t="shared" si="3"/>
        <v>820</v>
      </c>
      <c r="E105" s="704" t="s">
        <v>286</v>
      </c>
      <c r="F105" s="709"/>
      <c r="G105" s="709"/>
      <c r="H105" s="709"/>
      <c r="I105" s="709"/>
      <c r="J105" s="709"/>
      <c r="K105" s="709"/>
      <c r="L105" s="709">
        <v>10</v>
      </c>
      <c r="M105" s="709">
        <v>5</v>
      </c>
      <c r="N105" s="709">
        <v>5</v>
      </c>
      <c r="O105" s="709"/>
      <c r="P105" s="709"/>
      <c r="Q105" s="709">
        <v>500</v>
      </c>
      <c r="R105" s="709"/>
      <c r="S105" s="709"/>
      <c r="T105" s="709">
        <v>100</v>
      </c>
      <c r="U105" s="709">
        <v>200</v>
      </c>
      <c r="V105" s="709"/>
      <c r="W105" s="728"/>
      <c r="X105" s="727"/>
      <c r="Y105" s="709"/>
      <c r="Z105" s="709"/>
      <c r="AA105" s="709"/>
      <c r="AB105" s="709"/>
      <c r="AC105" s="699" t="s">
        <v>4236</v>
      </c>
      <c r="AD105" s="940" t="s">
        <v>4753</v>
      </c>
      <c r="AE105" s="940">
        <v>105</v>
      </c>
      <c r="AF105" s="940">
        <f t="shared" si="4"/>
        <v>715</v>
      </c>
      <c r="AG105" s="943">
        <v>61740</v>
      </c>
    </row>
    <row r="106" spans="1:33" s="669" customFormat="1" ht="75">
      <c r="A106" s="704">
        <v>103</v>
      </c>
      <c r="B106" s="711" t="s">
        <v>4360</v>
      </c>
      <c r="C106" s="98" t="s">
        <v>4361</v>
      </c>
      <c r="D106" s="727">
        <f t="shared" si="3"/>
        <v>820</v>
      </c>
      <c r="E106" s="704" t="s">
        <v>286</v>
      </c>
      <c r="F106" s="709"/>
      <c r="G106" s="709"/>
      <c r="H106" s="709"/>
      <c r="I106" s="709"/>
      <c r="J106" s="709"/>
      <c r="K106" s="709"/>
      <c r="L106" s="709">
        <v>10</v>
      </c>
      <c r="M106" s="709">
        <v>5</v>
      </c>
      <c r="N106" s="709">
        <v>5</v>
      </c>
      <c r="O106" s="709"/>
      <c r="P106" s="709"/>
      <c r="Q106" s="709">
        <v>500</v>
      </c>
      <c r="R106" s="709"/>
      <c r="S106" s="709"/>
      <c r="T106" s="709">
        <v>100</v>
      </c>
      <c r="U106" s="709">
        <v>200</v>
      </c>
      <c r="V106" s="709"/>
      <c r="W106" s="728"/>
      <c r="X106" s="727"/>
      <c r="Y106" s="709"/>
      <c r="Z106" s="709"/>
      <c r="AA106" s="709"/>
      <c r="AB106" s="709"/>
      <c r="AC106" s="699" t="s">
        <v>4236</v>
      </c>
      <c r="AD106" s="940" t="s">
        <v>4753</v>
      </c>
      <c r="AE106" s="940">
        <v>105</v>
      </c>
      <c r="AF106" s="940">
        <f t="shared" si="4"/>
        <v>715</v>
      </c>
      <c r="AG106" s="943">
        <v>70560</v>
      </c>
    </row>
    <row r="107" spans="1:33" s="669" customFormat="1" ht="75">
      <c r="A107" s="701">
        <v>104</v>
      </c>
      <c r="B107" s="711" t="s">
        <v>4362</v>
      </c>
      <c r="C107" s="98" t="s">
        <v>4363</v>
      </c>
      <c r="D107" s="727">
        <f t="shared" si="3"/>
        <v>820</v>
      </c>
      <c r="E107" s="704" t="s">
        <v>286</v>
      </c>
      <c r="F107" s="709"/>
      <c r="G107" s="709"/>
      <c r="H107" s="709"/>
      <c r="I107" s="709"/>
      <c r="J107" s="709"/>
      <c r="K107" s="709"/>
      <c r="L107" s="709">
        <v>10</v>
      </c>
      <c r="M107" s="709">
        <v>5</v>
      </c>
      <c r="N107" s="709">
        <v>5</v>
      </c>
      <c r="O107" s="709"/>
      <c r="P107" s="709"/>
      <c r="Q107" s="709">
        <v>500</v>
      </c>
      <c r="R107" s="709"/>
      <c r="S107" s="709"/>
      <c r="T107" s="709">
        <v>100</v>
      </c>
      <c r="U107" s="709">
        <v>200</v>
      </c>
      <c r="V107" s="709"/>
      <c r="W107" s="728"/>
      <c r="X107" s="727"/>
      <c r="Y107" s="709"/>
      <c r="Z107" s="709"/>
      <c r="AA107" s="709"/>
      <c r="AB107" s="709"/>
      <c r="AC107" s="699" t="s">
        <v>4236</v>
      </c>
      <c r="AD107" s="940" t="s">
        <v>4753</v>
      </c>
      <c r="AE107" s="940">
        <v>105</v>
      </c>
      <c r="AF107" s="940">
        <f t="shared" si="4"/>
        <v>715</v>
      </c>
      <c r="AG107" s="943">
        <v>79380</v>
      </c>
    </row>
    <row r="108" spans="1:33" s="669" customFormat="1" ht="75">
      <c r="A108" s="701">
        <v>105</v>
      </c>
      <c r="B108" s="711" t="s">
        <v>4364</v>
      </c>
      <c r="C108" s="98" t="s">
        <v>4365</v>
      </c>
      <c r="D108" s="727">
        <f t="shared" si="3"/>
        <v>820</v>
      </c>
      <c r="E108" s="704" t="s">
        <v>286</v>
      </c>
      <c r="F108" s="709"/>
      <c r="G108" s="709"/>
      <c r="H108" s="709"/>
      <c r="I108" s="709"/>
      <c r="J108" s="709"/>
      <c r="K108" s="709"/>
      <c r="L108" s="709">
        <v>10</v>
      </c>
      <c r="M108" s="709">
        <v>5</v>
      </c>
      <c r="N108" s="709">
        <v>5</v>
      </c>
      <c r="O108" s="709"/>
      <c r="P108" s="709"/>
      <c r="Q108" s="709">
        <v>500</v>
      </c>
      <c r="R108" s="709"/>
      <c r="S108" s="709"/>
      <c r="T108" s="709">
        <v>100</v>
      </c>
      <c r="U108" s="709">
        <v>200</v>
      </c>
      <c r="V108" s="709"/>
      <c r="W108" s="728"/>
      <c r="X108" s="727"/>
      <c r="Y108" s="709"/>
      <c r="Z108" s="709"/>
      <c r="AA108" s="709"/>
      <c r="AB108" s="709"/>
      <c r="AC108" s="699" t="s">
        <v>4236</v>
      </c>
      <c r="AD108" s="940" t="s">
        <v>4753</v>
      </c>
      <c r="AE108" s="940">
        <v>105</v>
      </c>
      <c r="AF108" s="940">
        <f t="shared" si="4"/>
        <v>715</v>
      </c>
      <c r="AG108" s="943">
        <v>79380</v>
      </c>
    </row>
    <row r="109" spans="1:33" ht="30">
      <c r="A109" s="704">
        <v>106</v>
      </c>
      <c r="B109" s="702" t="s">
        <v>4289</v>
      </c>
      <c r="C109" s="709"/>
      <c r="D109" s="727">
        <f t="shared" si="3"/>
        <v>150</v>
      </c>
      <c r="E109" s="704" t="s">
        <v>286</v>
      </c>
      <c r="F109" s="709"/>
      <c r="G109" s="709"/>
      <c r="H109" s="709"/>
      <c r="I109" s="709"/>
      <c r="J109" s="709"/>
      <c r="K109" s="704"/>
      <c r="L109" s="709"/>
      <c r="M109" s="709"/>
      <c r="N109" s="709"/>
      <c r="O109" s="709"/>
      <c r="P109" s="709">
        <v>150</v>
      </c>
      <c r="Q109" s="709"/>
      <c r="R109" s="709"/>
      <c r="S109" s="709"/>
      <c r="T109" s="709"/>
      <c r="U109" s="709"/>
      <c r="V109" s="709"/>
      <c r="W109" s="728"/>
      <c r="X109" s="727"/>
      <c r="Y109" s="709"/>
      <c r="Z109" s="709"/>
      <c r="AA109" s="709"/>
      <c r="AB109" s="709"/>
      <c r="AC109" s="699" t="s">
        <v>4236</v>
      </c>
      <c r="AD109" s="940" t="s">
        <v>4755</v>
      </c>
      <c r="AE109" s="940">
        <v>37</v>
      </c>
      <c r="AF109" s="940">
        <f t="shared" si="4"/>
        <v>113</v>
      </c>
      <c r="AG109" s="943">
        <v>140600</v>
      </c>
    </row>
    <row r="110" spans="1:33" ht="30">
      <c r="A110" s="701">
        <v>107</v>
      </c>
      <c r="B110" s="702" t="s">
        <v>4290</v>
      </c>
      <c r="C110" s="709"/>
      <c r="D110" s="727">
        <f t="shared" si="3"/>
        <v>20</v>
      </c>
      <c r="E110" s="704" t="s">
        <v>693</v>
      </c>
      <c r="F110" s="709"/>
      <c r="G110" s="709"/>
      <c r="H110" s="709"/>
      <c r="I110" s="709"/>
      <c r="J110" s="709"/>
      <c r="K110" s="704"/>
      <c r="L110" s="709"/>
      <c r="M110" s="709"/>
      <c r="N110" s="709"/>
      <c r="O110" s="709"/>
      <c r="P110" s="709">
        <v>20</v>
      </c>
      <c r="Q110" s="709"/>
      <c r="R110" s="709"/>
      <c r="S110" s="709"/>
      <c r="T110" s="709"/>
      <c r="U110" s="709"/>
      <c r="V110" s="709"/>
      <c r="W110" s="728"/>
      <c r="X110" s="727"/>
      <c r="Y110" s="709"/>
      <c r="Z110" s="709"/>
      <c r="AA110" s="709"/>
      <c r="AB110" s="709"/>
      <c r="AC110" s="699" t="s">
        <v>4236</v>
      </c>
      <c r="AD110" s="940" t="s">
        <v>4755</v>
      </c>
      <c r="AE110" s="940">
        <v>10</v>
      </c>
      <c r="AF110" s="940">
        <f t="shared" si="4"/>
        <v>10</v>
      </c>
      <c r="AG110" s="943">
        <v>228000</v>
      </c>
    </row>
    <row r="111" spans="1:33" ht="30">
      <c r="A111" s="701">
        <v>108</v>
      </c>
      <c r="B111" s="702" t="s">
        <v>4291</v>
      </c>
      <c r="C111" s="709"/>
      <c r="D111" s="727">
        <f t="shared" si="3"/>
        <v>110</v>
      </c>
      <c r="E111" s="704" t="s">
        <v>693</v>
      </c>
      <c r="F111" s="709"/>
      <c r="G111" s="709"/>
      <c r="H111" s="709"/>
      <c r="I111" s="709"/>
      <c r="J111" s="709"/>
      <c r="K111" s="701"/>
      <c r="L111" s="709">
        <v>20</v>
      </c>
      <c r="M111" s="709">
        <v>10</v>
      </c>
      <c r="N111" s="709">
        <v>10</v>
      </c>
      <c r="O111" s="709"/>
      <c r="P111" s="709">
        <v>10</v>
      </c>
      <c r="Q111" s="709"/>
      <c r="R111" s="709"/>
      <c r="S111" s="709"/>
      <c r="T111" s="709"/>
      <c r="U111" s="709">
        <v>60</v>
      </c>
      <c r="V111" s="709"/>
      <c r="W111" s="728"/>
      <c r="X111" s="727"/>
      <c r="Y111" s="709"/>
      <c r="Z111" s="709"/>
      <c r="AA111" s="709"/>
      <c r="AB111" s="709"/>
      <c r="AC111" s="699" t="s">
        <v>4236</v>
      </c>
      <c r="AD111" s="940" t="s">
        <v>4755</v>
      </c>
      <c r="AE111" s="940">
        <v>15</v>
      </c>
      <c r="AF111" s="940">
        <f t="shared" si="4"/>
        <v>95</v>
      </c>
      <c r="AG111" s="943">
        <v>399000</v>
      </c>
    </row>
    <row r="112" spans="1:33" s="669" customFormat="1" ht="30">
      <c r="A112" s="704">
        <v>109</v>
      </c>
      <c r="B112" s="702" t="s">
        <v>3154</v>
      </c>
      <c r="C112" s="709"/>
      <c r="D112" s="727">
        <f t="shared" si="3"/>
        <v>600</v>
      </c>
      <c r="E112" s="704" t="s">
        <v>286</v>
      </c>
      <c r="F112" s="709"/>
      <c r="G112" s="709"/>
      <c r="H112" s="709"/>
      <c r="I112" s="709"/>
      <c r="J112" s="709"/>
      <c r="K112" s="709"/>
      <c r="L112" s="709"/>
      <c r="M112" s="709"/>
      <c r="N112" s="709"/>
      <c r="O112" s="709"/>
      <c r="P112" s="709">
        <v>100</v>
      </c>
      <c r="Q112" s="709"/>
      <c r="R112" s="709"/>
      <c r="S112" s="709"/>
      <c r="T112" s="709"/>
      <c r="U112" s="709"/>
      <c r="V112" s="709">
        <v>500</v>
      </c>
      <c r="W112" s="728"/>
      <c r="X112" s="727"/>
      <c r="Y112" s="709"/>
      <c r="Z112" s="709"/>
      <c r="AA112" s="709"/>
      <c r="AB112" s="709"/>
      <c r="AC112" s="699" t="s">
        <v>4236</v>
      </c>
      <c r="AD112" s="940" t="s">
        <v>4755</v>
      </c>
      <c r="AE112" s="940">
        <v>25</v>
      </c>
      <c r="AF112" s="940">
        <f t="shared" si="4"/>
        <v>575</v>
      </c>
      <c r="AG112" s="943">
        <v>133000</v>
      </c>
    </row>
    <row r="113" spans="1:33" s="669" customFormat="1">
      <c r="A113" s="701">
        <v>110</v>
      </c>
      <c r="B113" s="702" t="s">
        <v>4327</v>
      </c>
      <c r="C113" s="709"/>
      <c r="D113" s="727">
        <f t="shared" si="3"/>
        <v>0</v>
      </c>
      <c r="E113" s="704" t="s">
        <v>693</v>
      </c>
      <c r="F113" s="709"/>
      <c r="G113" s="709"/>
      <c r="H113" s="709"/>
      <c r="I113" s="709"/>
      <c r="J113" s="709"/>
      <c r="K113" s="701"/>
      <c r="L113" s="709"/>
      <c r="M113" s="709"/>
      <c r="N113" s="709"/>
      <c r="O113" s="709"/>
      <c r="P113" s="709"/>
      <c r="Q113" s="709"/>
      <c r="R113" s="709"/>
      <c r="S113" s="709"/>
      <c r="T113" s="709"/>
      <c r="U113" s="709"/>
      <c r="V113" s="709"/>
      <c r="W113" s="728"/>
      <c r="X113" s="727"/>
      <c r="Y113" s="709"/>
      <c r="Z113" s="709"/>
      <c r="AA113" s="709"/>
      <c r="AB113" s="709"/>
      <c r="AC113" s="699" t="s">
        <v>4236</v>
      </c>
      <c r="AD113" s="940"/>
      <c r="AE113" s="940"/>
      <c r="AF113" s="940">
        <f t="shared" si="4"/>
        <v>0</v>
      </c>
      <c r="AG113" s="943"/>
    </row>
    <row r="114" spans="1:33" ht="30">
      <c r="A114" s="701">
        <v>111</v>
      </c>
      <c r="B114" s="702" t="s">
        <v>4292</v>
      </c>
      <c r="C114" s="709"/>
      <c r="D114" s="727">
        <f t="shared" si="3"/>
        <v>10</v>
      </c>
      <c r="E114" s="704" t="s">
        <v>693</v>
      </c>
      <c r="F114" s="709"/>
      <c r="G114" s="709"/>
      <c r="H114" s="709"/>
      <c r="I114" s="709"/>
      <c r="J114" s="709"/>
      <c r="K114" s="701"/>
      <c r="L114" s="709"/>
      <c r="M114" s="709"/>
      <c r="N114" s="709"/>
      <c r="O114" s="709"/>
      <c r="P114" s="709">
        <v>10</v>
      </c>
      <c r="Q114" s="709"/>
      <c r="R114" s="709"/>
      <c r="S114" s="709"/>
      <c r="T114" s="709"/>
      <c r="U114" s="709"/>
      <c r="V114" s="709"/>
      <c r="W114" s="728"/>
      <c r="X114" s="727"/>
      <c r="Y114" s="709"/>
      <c r="Z114" s="709"/>
      <c r="AA114" s="709"/>
      <c r="AB114" s="709"/>
      <c r="AC114" s="699" t="s">
        <v>4236</v>
      </c>
      <c r="AD114" s="940" t="s">
        <v>4755</v>
      </c>
      <c r="AE114" s="940">
        <v>5</v>
      </c>
      <c r="AF114" s="940">
        <f t="shared" si="4"/>
        <v>5</v>
      </c>
      <c r="AG114" s="943">
        <v>64600</v>
      </c>
    </row>
    <row r="115" spans="1:33">
      <c r="A115" s="704">
        <v>112</v>
      </c>
      <c r="B115" s="702" t="s">
        <v>4293</v>
      </c>
      <c r="C115" s="709"/>
      <c r="D115" s="727">
        <f t="shared" si="3"/>
        <v>5</v>
      </c>
      <c r="E115" s="704" t="s">
        <v>693</v>
      </c>
      <c r="F115" s="709"/>
      <c r="G115" s="709"/>
      <c r="H115" s="709"/>
      <c r="I115" s="709"/>
      <c r="J115" s="709"/>
      <c r="K115" s="701"/>
      <c r="L115" s="709"/>
      <c r="M115" s="709"/>
      <c r="N115" s="709"/>
      <c r="O115" s="709"/>
      <c r="P115" s="709">
        <v>5</v>
      </c>
      <c r="Q115" s="709"/>
      <c r="R115" s="709"/>
      <c r="S115" s="709"/>
      <c r="T115" s="709"/>
      <c r="U115" s="709"/>
      <c r="V115" s="709"/>
      <c r="W115" s="728"/>
      <c r="X115" s="727"/>
      <c r="Y115" s="709"/>
      <c r="Z115" s="709"/>
      <c r="AA115" s="709"/>
      <c r="AB115" s="709"/>
      <c r="AC115" s="699" t="s">
        <v>4236</v>
      </c>
      <c r="AD115" s="940"/>
      <c r="AE115" s="940"/>
      <c r="AF115" s="940">
        <f t="shared" si="4"/>
        <v>5</v>
      </c>
      <c r="AG115" s="943"/>
    </row>
    <row r="116" spans="1:33" ht="30">
      <c r="A116" s="701">
        <v>113</v>
      </c>
      <c r="B116" s="702" t="s">
        <v>4294</v>
      </c>
      <c r="C116" s="709"/>
      <c r="D116" s="727">
        <f t="shared" si="3"/>
        <v>4305</v>
      </c>
      <c r="E116" s="704" t="s">
        <v>693</v>
      </c>
      <c r="F116" s="709"/>
      <c r="G116" s="709"/>
      <c r="H116" s="709"/>
      <c r="I116" s="709"/>
      <c r="J116" s="709"/>
      <c r="K116" s="701"/>
      <c r="L116" s="709">
        <v>1000</v>
      </c>
      <c r="M116" s="709">
        <v>500</v>
      </c>
      <c r="N116" s="709">
        <v>500</v>
      </c>
      <c r="O116" s="709"/>
      <c r="P116" s="709">
        <v>5</v>
      </c>
      <c r="Q116" s="709">
        <v>200</v>
      </c>
      <c r="R116" s="709">
        <v>200</v>
      </c>
      <c r="S116" s="709">
        <v>200</v>
      </c>
      <c r="T116" s="709">
        <v>500</v>
      </c>
      <c r="U116" s="709">
        <v>500</v>
      </c>
      <c r="V116" s="709">
        <v>700</v>
      </c>
      <c r="W116" s="728"/>
      <c r="X116" s="727"/>
      <c r="Y116" s="709"/>
      <c r="Z116" s="709"/>
      <c r="AA116" s="709"/>
      <c r="AB116" s="709"/>
      <c r="AC116" s="699" t="s">
        <v>4236</v>
      </c>
      <c r="AD116" s="940" t="s">
        <v>4755</v>
      </c>
      <c r="AE116" s="940">
        <v>367</v>
      </c>
      <c r="AF116" s="940">
        <f t="shared" si="4"/>
        <v>3938</v>
      </c>
      <c r="AG116" s="943">
        <v>1394600</v>
      </c>
    </row>
    <row r="117" spans="1:33" ht="30">
      <c r="A117" s="701">
        <v>114</v>
      </c>
      <c r="B117" s="702" t="s">
        <v>4295</v>
      </c>
      <c r="C117" s="709"/>
      <c r="D117" s="727">
        <f t="shared" si="3"/>
        <v>630</v>
      </c>
      <c r="E117" s="704" t="s">
        <v>693</v>
      </c>
      <c r="F117" s="709"/>
      <c r="G117" s="709"/>
      <c r="H117" s="709"/>
      <c r="I117" s="709"/>
      <c r="J117" s="709"/>
      <c r="K117" s="701"/>
      <c r="L117" s="709"/>
      <c r="M117" s="709"/>
      <c r="N117" s="709"/>
      <c r="O117" s="709"/>
      <c r="P117" s="709">
        <v>10</v>
      </c>
      <c r="Q117" s="709"/>
      <c r="R117" s="709"/>
      <c r="S117" s="709"/>
      <c r="T117" s="709">
        <v>500</v>
      </c>
      <c r="U117" s="709">
        <v>120</v>
      </c>
      <c r="V117" s="709"/>
      <c r="W117" s="728"/>
      <c r="X117" s="727"/>
      <c r="Y117" s="709"/>
      <c r="Z117" s="709"/>
      <c r="AA117" s="709"/>
      <c r="AB117" s="709"/>
      <c r="AC117" s="699" t="s">
        <v>4236</v>
      </c>
      <c r="AD117" s="940" t="s">
        <v>4755</v>
      </c>
      <c r="AE117" s="940">
        <v>53</v>
      </c>
      <c r="AF117" s="940">
        <f t="shared" si="4"/>
        <v>577</v>
      </c>
      <c r="AG117" s="943">
        <v>241680</v>
      </c>
    </row>
    <row r="118" spans="1:33" ht="60">
      <c r="A118" s="704">
        <v>115</v>
      </c>
      <c r="B118" s="702" t="s">
        <v>4342</v>
      </c>
      <c r="C118" s="709"/>
      <c r="D118" s="727">
        <f t="shared" si="3"/>
        <v>260</v>
      </c>
      <c r="E118" s="704" t="s">
        <v>127</v>
      </c>
      <c r="F118" s="709"/>
      <c r="G118" s="709"/>
      <c r="H118" s="709"/>
      <c r="I118" s="709"/>
      <c r="J118" s="709"/>
      <c r="K118" s="701"/>
      <c r="L118" s="709"/>
      <c r="M118" s="709"/>
      <c r="N118" s="709"/>
      <c r="O118" s="709"/>
      <c r="P118" s="709">
        <v>5</v>
      </c>
      <c r="Q118" s="709">
        <v>100</v>
      </c>
      <c r="R118" s="709">
        <v>30</v>
      </c>
      <c r="S118" s="709"/>
      <c r="T118" s="709"/>
      <c r="U118" s="709">
        <v>125</v>
      </c>
      <c r="V118" s="709"/>
      <c r="W118" s="728"/>
      <c r="X118" s="727"/>
      <c r="Y118" s="709"/>
      <c r="Z118" s="709"/>
      <c r="AA118" s="709"/>
      <c r="AB118" s="709"/>
      <c r="AC118" s="699" t="s">
        <v>4236</v>
      </c>
      <c r="AD118" s="940" t="s">
        <v>4755</v>
      </c>
      <c r="AE118" s="940">
        <v>12</v>
      </c>
      <c r="AF118" s="940">
        <f t="shared" si="4"/>
        <v>248</v>
      </c>
      <c r="AG118" s="943">
        <v>11400000</v>
      </c>
    </row>
    <row r="119" spans="1:33" ht="60">
      <c r="A119" s="701">
        <v>116</v>
      </c>
      <c r="B119" s="702" t="s">
        <v>4301</v>
      </c>
      <c r="C119" s="709"/>
      <c r="D119" s="727">
        <f t="shared" si="3"/>
        <v>45</v>
      </c>
      <c r="E119" s="704" t="s">
        <v>127</v>
      </c>
      <c r="F119" s="709"/>
      <c r="G119" s="709"/>
      <c r="H119" s="709"/>
      <c r="I119" s="709"/>
      <c r="J119" s="709"/>
      <c r="K119" s="701"/>
      <c r="L119" s="709"/>
      <c r="M119" s="709"/>
      <c r="N119" s="709"/>
      <c r="O119" s="709"/>
      <c r="P119" s="709">
        <v>5</v>
      </c>
      <c r="Q119" s="709"/>
      <c r="R119" s="709"/>
      <c r="S119" s="709">
        <v>40</v>
      </c>
      <c r="T119" s="709"/>
      <c r="U119" s="709"/>
      <c r="V119" s="709"/>
      <c r="W119" s="728"/>
      <c r="X119" s="727"/>
      <c r="Y119" s="709"/>
      <c r="Z119" s="709"/>
      <c r="AA119" s="709"/>
      <c r="AB119" s="709"/>
      <c r="AC119" s="699" t="s">
        <v>4236</v>
      </c>
      <c r="AD119" s="940" t="s">
        <v>4755</v>
      </c>
      <c r="AE119" s="940">
        <v>4</v>
      </c>
      <c r="AF119" s="940">
        <f t="shared" si="4"/>
        <v>41</v>
      </c>
      <c r="AG119" s="943">
        <v>3800000</v>
      </c>
    </row>
    <row r="120" spans="1:33" s="669" customFormat="1" ht="30">
      <c r="A120" s="701">
        <v>117</v>
      </c>
      <c r="B120" s="702" t="s">
        <v>4381</v>
      </c>
      <c r="C120" s="709"/>
      <c r="D120" s="727">
        <f t="shared" si="3"/>
        <v>970</v>
      </c>
      <c r="E120" s="704" t="s">
        <v>286</v>
      </c>
      <c r="F120" s="709"/>
      <c r="G120" s="709"/>
      <c r="H120" s="709"/>
      <c r="I120" s="709"/>
      <c r="J120" s="709"/>
      <c r="K120" s="704"/>
      <c r="L120" s="709">
        <v>300</v>
      </c>
      <c r="M120" s="709">
        <v>100</v>
      </c>
      <c r="N120" s="709">
        <v>100</v>
      </c>
      <c r="O120" s="709">
        <v>100</v>
      </c>
      <c r="P120" s="709">
        <v>100</v>
      </c>
      <c r="Q120" s="709"/>
      <c r="R120" s="709"/>
      <c r="S120" s="709">
        <v>50</v>
      </c>
      <c r="T120" s="709">
        <v>100</v>
      </c>
      <c r="U120" s="709">
        <v>120</v>
      </c>
      <c r="V120" s="709"/>
      <c r="W120" s="728"/>
      <c r="X120" s="727"/>
      <c r="Y120" s="709"/>
      <c r="Z120" s="709"/>
      <c r="AA120" s="709"/>
      <c r="AB120" s="709"/>
      <c r="AC120" s="699" t="s">
        <v>4236</v>
      </c>
      <c r="AD120" s="940" t="s">
        <v>4755</v>
      </c>
      <c r="AE120" s="940">
        <v>85</v>
      </c>
      <c r="AF120" s="940">
        <f t="shared" si="4"/>
        <v>885</v>
      </c>
      <c r="AG120" s="943">
        <v>323000</v>
      </c>
    </row>
    <row r="121" spans="1:33" s="669" customFormat="1" ht="56.25">
      <c r="A121" s="704">
        <v>118</v>
      </c>
      <c r="B121" s="711" t="s">
        <v>4325</v>
      </c>
      <c r="C121" s="709"/>
      <c r="D121" s="727">
        <f t="shared" si="3"/>
        <v>0</v>
      </c>
      <c r="E121" s="704" t="s">
        <v>286</v>
      </c>
      <c r="F121" s="709"/>
      <c r="G121" s="709"/>
      <c r="H121" s="709"/>
      <c r="I121" s="709"/>
      <c r="J121" s="709"/>
      <c r="K121" s="701"/>
      <c r="L121" s="709"/>
      <c r="M121" s="709"/>
      <c r="N121" s="709"/>
      <c r="O121" s="709"/>
      <c r="P121" s="709"/>
      <c r="Q121" s="709"/>
      <c r="R121" s="709"/>
      <c r="S121" s="709"/>
      <c r="T121" s="709"/>
      <c r="U121" s="709"/>
      <c r="V121" s="709"/>
      <c r="W121" s="728"/>
      <c r="X121" s="727"/>
      <c r="Y121" s="709"/>
      <c r="Z121" s="709"/>
      <c r="AA121" s="709"/>
      <c r="AB121" s="709"/>
      <c r="AC121" s="699" t="s">
        <v>4236</v>
      </c>
      <c r="AD121" s="940"/>
      <c r="AE121" s="940"/>
      <c r="AF121" s="940">
        <f t="shared" si="4"/>
        <v>0</v>
      </c>
      <c r="AG121" s="943"/>
    </row>
    <row r="122" spans="1:33" ht="30">
      <c r="A122" s="701">
        <v>119</v>
      </c>
      <c r="B122" s="702" t="s">
        <v>4244</v>
      </c>
      <c r="C122" s="709"/>
      <c r="D122" s="727">
        <f t="shared" si="3"/>
        <v>420</v>
      </c>
      <c r="E122" s="704" t="s">
        <v>286</v>
      </c>
      <c r="F122" s="709"/>
      <c r="G122" s="709"/>
      <c r="H122" s="709"/>
      <c r="I122" s="709"/>
      <c r="J122" s="709"/>
      <c r="K122" s="701"/>
      <c r="L122" s="709">
        <v>100</v>
      </c>
      <c r="M122" s="709">
        <v>50</v>
      </c>
      <c r="N122" s="709">
        <v>50</v>
      </c>
      <c r="O122" s="709">
        <v>50</v>
      </c>
      <c r="P122" s="709">
        <v>50</v>
      </c>
      <c r="Q122" s="709"/>
      <c r="R122" s="709"/>
      <c r="S122" s="709"/>
      <c r="T122" s="709">
        <v>70</v>
      </c>
      <c r="U122" s="709">
        <v>50</v>
      </c>
      <c r="V122" s="709"/>
      <c r="W122" s="728"/>
      <c r="X122" s="727"/>
      <c r="Y122" s="709"/>
      <c r="Z122" s="709"/>
      <c r="AA122" s="709"/>
      <c r="AB122" s="709"/>
      <c r="AC122" s="699" t="s">
        <v>4236</v>
      </c>
      <c r="AD122" s="940" t="s">
        <v>4755</v>
      </c>
      <c r="AE122" s="940">
        <v>35</v>
      </c>
      <c r="AF122" s="940">
        <f t="shared" si="4"/>
        <v>385</v>
      </c>
      <c r="AG122" s="943">
        <v>478800</v>
      </c>
    </row>
    <row r="123" spans="1:33" s="669" customFormat="1" ht="56.25">
      <c r="A123" s="701">
        <v>120</v>
      </c>
      <c r="B123" s="720" t="s">
        <v>4391</v>
      </c>
      <c r="C123" s="721" t="s">
        <v>4390</v>
      </c>
      <c r="D123" s="727">
        <f t="shared" si="3"/>
        <v>250</v>
      </c>
      <c r="E123" s="704" t="s">
        <v>286</v>
      </c>
      <c r="F123" s="709"/>
      <c r="G123" s="709"/>
      <c r="H123" s="709"/>
      <c r="I123" s="709"/>
      <c r="J123" s="709"/>
      <c r="K123" s="701"/>
      <c r="L123" s="709">
        <v>150</v>
      </c>
      <c r="M123" s="709">
        <v>50</v>
      </c>
      <c r="N123" s="709">
        <v>50</v>
      </c>
      <c r="O123" s="709"/>
      <c r="P123" s="709"/>
      <c r="Q123" s="709"/>
      <c r="R123" s="709"/>
      <c r="S123" s="709"/>
      <c r="T123" s="709"/>
      <c r="U123" s="709"/>
      <c r="V123" s="709"/>
      <c r="W123" s="728"/>
      <c r="X123" s="727"/>
      <c r="Y123" s="709"/>
      <c r="Z123" s="709"/>
      <c r="AA123" s="709"/>
      <c r="AB123" s="709"/>
      <c r="AC123" s="699" t="s">
        <v>4236</v>
      </c>
      <c r="AD123" s="940" t="s">
        <v>4755</v>
      </c>
      <c r="AE123" s="940">
        <v>25</v>
      </c>
      <c r="AF123" s="940">
        <f t="shared" si="4"/>
        <v>225</v>
      </c>
      <c r="AG123" s="943">
        <v>342000</v>
      </c>
    </row>
    <row r="124" spans="1:33" ht="30">
      <c r="A124" s="704">
        <v>121</v>
      </c>
      <c r="B124" s="702" t="s">
        <v>4245</v>
      </c>
      <c r="C124" s="709"/>
      <c r="D124" s="727">
        <f t="shared" si="3"/>
        <v>190</v>
      </c>
      <c r="E124" s="704" t="s">
        <v>286</v>
      </c>
      <c r="F124" s="709"/>
      <c r="G124" s="709"/>
      <c r="H124" s="709"/>
      <c r="I124" s="709"/>
      <c r="J124" s="709"/>
      <c r="K124" s="701"/>
      <c r="L124" s="709"/>
      <c r="M124" s="709"/>
      <c r="N124" s="709"/>
      <c r="O124" s="709">
        <v>50</v>
      </c>
      <c r="P124" s="709">
        <v>50</v>
      </c>
      <c r="Q124" s="709"/>
      <c r="R124" s="709"/>
      <c r="S124" s="709"/>
      <c r="T124" s="709">
        <v>50</v>
      </c>
      <c r="U124" s="709">
        <v>40</v>
      </c>
      <c r="V124" s="709"/>
      <c r="W124" s="728"/>
      <c r="X124" s="727"/>
      <c r="Y124" s="709"/>
      <c r="Z124" s="709"/>
      <c r="AA124" s="709"/>
      <c r="AB124" s="709"/>
      <c r="AC124" s="699" t="s">
        <v>4236</v>
      </c>
      <c r="AD124" s="940" t="s">
        <v>4755</v>
      </c>
      <c r="AE124" s="940">
        <v>22</v>
      </c>
      <c r="AF124" s="940">
        <f t="shared" si="4"/>
        <v>168</v>
      </c>
      <c r="AG124" s="943">
        <v>334400</v>
      </c>
    </row>
    <row r="125" spans="1:33" s="669" customFormat="1" ht="56.25">
      <c r="A125" s="701">
        <v>122</v>
      </c>
      <c r="B125" s="720" t="s">
        <v>4388</v>
      </c>
      <c r="C125" s="721" t="s">
        <v>4389</v>
      </c>
      <c r="D125" s="727">
        <f t="shared" si="3"/>
        <v>300</v>
      </c>
      <c r="E125" s="704" t="s">
        <v>286</v>
      </c>
      <c r="F125" s="709"/>
      <c r="G125" s="709"/>
      <c r="H125" s="709"/>
      <c r="I125" s="709"/>
      <c r="J125" s="709"/>
      <c r="K125" s="701"/>
      <c r="L125" s="709">
        <v>200</v>
      </c>
      <c r="M125" s="709">
        <v>50</v>
      </c>
      <c r="N125" s="709">
        <v>50</v>
      </c>
      <c r="O125" s="709"/>
      <c r="P125" s="709"/>
      <c r="Q125" s="709"/>
      <c r="R125" s="709"/>
      <c r="S125" s="709"/>
      <c r="T125" s="709"/>
      <c r="U125" s="709"/>
      <c r="V125" s="709"/>
      <c r="W125" s="728"/>
      <c r="X125" s="727"/>
      <c r="Y125" s="709"/>
      <c r="Z125" s="709"/>
      <c r="AA125" s="709"/>
      <c r="AB125" s="709"/>
      <c r="AC125" s="699" t="s">
        <v>4236</v>
      </c>
      <c r="AD125" s="940" t="s">
        <v>4755</v>
      </c>
      <c r="AE125" s="940">
        <v>25</v>
      </c>
      <c r="AF125" s="940">
        <f t="shared" si="4"/>
        <v>275</v>
      </c>
      <c r="AG125" s="943">
        <v>380000</v>
      </c>
    </row>
    <row r="126" spans="1:33" ht="30">
      <c r="A126" s="701">
        <v>123</v>
      </c>
      <c r="B126" s="702" t="s">
        <v>4246</v>
      </c>
      <c r="C126" s="709"/>
      <c r="D126" s="727">
        <f t="shared" si="3"/>
        <v>250</v>
      </c>
      <c r="E126" s="704" t="s">
        <v>286</v>
      </c>
      <c r="F126" s="709"/>
      <c r="G126" s="709"/>
      <c r="H126" s="709"/>
      <c r="I126" s="709"/>
      <c r="J126" s="709"/>
      <c r="K126" s="701"/>
      <c r="L126" s="709">
        <v>150</v>
      </c>
      <c r="M126" s="709">
        <v>50</v>
      </c>
      <c r="N126" s="709">
        <v>50</v>
      </c>
      <c r="O126" s="709"/>
      <c r="P126" s="709"/>
      <c r="Q126" s="709"/>
      <c r="R126" s="709"/>
      <c r="S126" s="709"/>
      <c r="T126" s="709"/>
      <c r="U126" s="709"/>
      <c r="V126" s="709"/>
      <c r="W126" s="728"/>
      <c r="X126" s="727"/>
      <c r="Y126" s="709"/>
      <c r="Z126" s="709"/>
      <c r="AA126" s="709"/>
      <c r="AB126" s="709"/>
      <c r="AC126" s="699" t="s">
        <v>4236</v>
      </c>
      <c r="AD126" s="940" t="s">
        <v>4755</v>
      </c>
      <c r="AE126" s="940">
        <v>25</v>
      </c>
      <c r="AF126" s="940">
        <f t="shared" si="4"/>
        <v>225</v>
      </c>
      <c r="AG126" s="943">
        <v>665000</v>
      </c>
    </row>
    <row r="127" spans="1:33" ht="30">
      <c r="A127" s="704">
        <v>124</v>
      </c>
      <c r="B127" s="702" t="s">
        <v>4243</v>
      </c>
      <c r="C127" s="709" t="s">
        <v>657</v>
      </c>
      <c r="D127" s="727">
        <f t="shared" si="3"/>
        <v>90</v>
      </c>
      <c r="E127" s="704" t="s">
        <v>286</v>
      </c>
      <c r="F127" s="709"/>
      <c r="G127" s="709"/>
      <c r="H127" s="709"/>
      <c r="I127" s="709"/>
      <c r="J127" s="709"/>
      <c r="K127" s="704"/>
      <c r="L127" s="709"/>
      <c r="M127" s="709"/>
      <c r="N127" s="709"/>
      <c r="O127" s="709">
        <v>20</v>
      </c>
      <c r="P127" s="709">
        <v>20</v>
      </c>
      <c r="Q127" s="709">
        <v>30</v>
      </c>
      <c r="R127" s="709">
        <v>20</v>
      </c>
      <c r="S127" s="709"/>
      <c r="T127" s="709"/>
      <c r="U127" s="709"/>
      <c r="V127" s="709"/>
      <c r="W127" s="728"/>
      <c r="X127" s="727"/>
      <c r="Y127" s="709"/>
      <c r="Z127" s="709"/>
      <c r="AA127" s="709"/>
      <c r="AB127" s="709"/>
      <c r="AC127" s="699" t="s">
        <v>4236</v>
      </c>
      <c r="AD127" s="940" t="s">
        <v>4755</v>
      </c>
      <c r="AE127" s="940">
        <v>10</v>
      </c>
      <c r="AF127" s="940">
        <f t="shared" si="4"/>
        <v>80</v>
      </c>
      <c r="AG127" s="943">
        <v>266000</v>
      </c>
    </row>
    <row r="128" spans="1:33" ht="37.5">
      <c r="A128" s="701">
        <v>125</v>
      </c>
      <c r="B128" s="702" t="s">
        <v>4251</v>
      </c>
      <c r="C128" s="721" t="s">
        <v>4407</v>
      </c>
      <c r="D128" s="727">
        <f t="shared" si="3"/>
        <v>160</v>
      </c>
      <c r="E128" s="704" t="s">
        <v>693</v>
      </c>
      <c r="F128" s="709"/>
      <c r="G128" s="709"/>
      <c r="H128" s="709"/>
      <c r="I128" s="709"/>
      <c r="J128" s="709"/>
      <c r="K128" s="704"/>
      <c r="L128" s="709">
        <v>60</v>
      </c>
      <c r="M128" s="709">
        <v>10</v>
      </c>
      <c r="N128" s="709">
        <v>10</v>
      </c>
      <c r="O128" s="709"/>
      <c r="P128" s="709"/>
      <c r="Q128" s="709"/>
      <c r="R128" s="709"/>
      <c r="S128" s="709"/>
      <c r="T128" s="709">
        <v>40</v>
      </c>
      <c r="U128" s="709">
        <v>40</v>
      </c>
      <c r="V128" s="709"/>
      <c r="W128" s="728"/>
      <c r="X128" s="727"/>
      <c r="Y128" s="709"/>
      <c r="Z128" s="709"/>
      <c r="AA128" s="709"/>
      <c r="AB128" s="709"/>
      <c r="AC128" s="699" t="s">
        <v>4236</v>
      </c>
      <c r="AD128" s="940" t="s">
        <v>4755</v>
      </c>
      <c r="AE128" s="940">
        <v>22</v>
      </c>
      <c r="AF128" s="940">
        <f t="shared" si="4"/>
        <v>138</v>
      </c>
      <c r="AG128" s="943">
        <v>267520</v>
      </c>
    </row>
    <row r="129" spans="1:33" ht="37.5">
      <c r="A129" s="701">
        <v>126</v>
      </c>
      <c r="B129" s="702" t="s">
        <v>4252</v>
      </c>
      <c r="C129" s="721" t="s">
        <v>4408</v>
      </c>
      <c r="D129" s="727">
        <f t="shared" si="3"/>
        <v>80</v>
      </c>
      <c r="E129" s="704" t="s">
        <v>693</v>
      </c>
      <c r="F129" s="709"/>
      <c r="G129" s="709"/>
      <c r="H129" s="709"/>
      <c r="I129" s="709"/>
      <c r="J129" s="709"/>
      <c r="K129" s="704"/>
      <c r="L129" s="709">
        <v>60</v>
      </c>
      <c r="M129" s="709">
        <v>10</v>
      </c>
      <c r="N129" s="709">
        <v>10</v>
      </c>
      <c r="O129" s="709"/>
      <c r="P129" s="709"/>
      <c r="Q129" s="709"/>
      <c r="R129" s="709"/>
      <c r="S129" s="709"/>
      <c r="T129" s="709"/>
      <c r="U129" s="709"/>
      <c r="V129" s="709"/>
      <c r="W129" s="728"/>
      <c r="X129" s="727"/>
      <c r="Y129" s="709"/>
      <c r="Z129" s="709"/>
      <c r="AA129" s="709"/>
      <c r="AB129" s="709"/>
      <c r="AC129" s="699" t="s">
        <v>4236</v>
      </c>
      <c r="AD129" s="940"/>
      <c r="AE129" s="940"/>
      <c r="AF129" s="940">
        <f t="shared" si="4"/>
        <v>80</v>
      </c>
      <c r="AG129" s="943"/>
    </row>
    <row r="130" spans="1:33" ht="37.5">
      <c r="A130" s="704">
        <v>127</v>
      </c>
      <c r="B130" s="702" t="s">
        <v>4321</v>
      </c>
      <c r="C130" s="709"/>
      <c r="D130" s="727">
        <f t="shared" si="3"/>
        <v>150</v>
      </c>
      <c r="E130" s="704" t="s">
        <v>693</v>
      </c>
      <c r="F130" s="709"/>
      <c r="G130" s="709"/>
      <c r="H130" s="709"/>
      <c r="I130" s="709"/>
      <c r="J130" s="709"/>
      <c r="K130" s="701"/>
      <c r="L130" s="709"/>
      <c r="M130" s="709"/>
      <c r="N130" s="709"/>
      <c r="O130" s="709"/>
      <c r="P130" s="709"/>
      <c r="Q130" s="709"/>
      <c r="R130" s="709"/>
      <c r="S130" s="709"/>
      <c r="T130" s="709">
        <v>100</v>
      </c>
      <c r="U130" s="709">
        <v>50</v>
      </c>
      <c r="V130" s="709"/>
      <c r="W130" s="728"/>
      <c r="X130" s="727"/>
      <c r="Y130" s="709"/>
      <c r="Z130" s="709"/>
      <c r="AA130" s="709"/>
      <c r="AB130" s="709"/>
      <c r="AC130" s="699" t="s">
        <v>4236</v>
      </c>
      <c r="AD130" s="940"/>
      <c r="AE130" s="940"/>
      <c r="AF130" s="940">
        <f t="shared" si="4"/>
        <v>150</v>
      </c>
      <c r="AG130" s="943"/>
    </row>
    <row r="131" spans="1:33" ht="30">
      <c r="A131" s="701">
        <v>128</v>
      </c>
      <c r="B131" s="702" t="s">
        <v>4367</v>
      </c>
      <c r="C131" s="709"/>
      <c r="D131" s="727">
        <f t="shared" si="3"/>
        <v>200</v>
      </c>
      <c r="E131" s="704" t="s">
        <v>693</v>
      </c>
      <c r="F131" s="709"/>
      <c r="G131" s="709"/>
      <c r="H131" s="709"/>
      <c r="I131" s="709"/>
      <c r="J131" s="709"/>
      <c r="K131" s="704"/>
      <c r="L131" s="709"/>
      <c r="M131" s="709"/>
      <c r="N131" s="709"/>
      <c r="O131" s="709"/>
      <c r="P131" s="709"/>
      <c r="Q131" s="709">
        <v>100</v>
      </c>
      <c r="R131" s="709">
        <v>100</v>
      </c>
      <c r="S131" s="709"/>
      <c r="T131" s="709"/>
      <c r="U131" s="709"/>
      <c r="V131" s="709"/>
      <c r="W131" s="728"/>
      <c r="X131" s="727"/>
      <c r="Y131" s="709"/>
      <c r="Z131" s="709"/>
      <c r="AA131" s="709"/>
      <c r="AB131" s="709"/>
      <c r="AC131" s="699" t="s">
        <v>4236</v>
      </c>
      <c r="AD131" s="940" t="s">
        <v>4755</v>
      </c>
      <c r="AE131" s="940">
        <v>15</v>
      </c>
      <c r="AF131" s="940">
        <f t="shared" si="4"/>
        <v>185</v>
      </c>
      <c r="AG131" s="943">
        <v>171000</v>
      </c>
    </row>
    <row r="132" spans="1:33" ht="37.5">
      <c r="A132" s="701">
        <v>129</v>
      </c>
      <c r="B132" s="702" t="s">
        <v>4261</v>
      </c>
      <c r="C132" s="721" t="s">
        <v>4411</v>
      </c>
      <c r="D132" s="727">
        <f t="shared" si="3"/>
        <v>1430</v>
      </c>
      <c r="E132" s="704" t="s">
        <v>693</v>
      </c>
      <c r="F132" s="709"/>
      <c r="G132" s="709"/>
      <c r="H132" s="709"/>
      <c r="I132" s="709"/>
      <c r="J132" s="709"/>
      <c r="K132" s="701"/>
      <c r="L132" s="709">
        <v>700</v>
      </c>
      <c r="M132" s="709">
        <v>225</v>
      </c>
      <c r="N132" s="709">
        <v>225</v>
      </c>
      <c r="O132" s="709"/>
      <c r="P132" s="709">
        <v>20</v>
      </c>
      <c r="Q132" s="709">
        <v>100</v>
      </c>
      <c r="R132" s="709">
        <v>100</v>
      </c>
      <c r="S132" s="709"/>
      <c r="T132" s="709">
        <v>20</v>
      </c>
      <c r="U132" s="709">
        <v>40</v>
      </c>
      <c r="V132" s="709"/>
      <c r="W132" s="728"/>
      <c r="X132" s="727"/>
      <c r="Y132" s="709"/>
      <c r="Z132" s="709"/>
      <c r="AA132" s="709"/>
      <c r="AB132" s="709"/>
      <c r="AC132" s="699" t="s">
        <v>4236</v>
      </c>
      <c r="AD132" s="940" t="s">
        <v>4755</v>
      </c>
      <c r="AE132" s="940">
        <v>105</v>
      </c>
      <c r="AF132" s="940">
        <f t="shared" si="4"/>
        <v>1325</v>
      </c>
      <c r="AG132" s="943">
        <v>1197000</v>
      </c>
    </row>
    <row r="133" spans="1:33" ht="30">
      <c r="A133" s="704">
        <v>130</v>
      </c>
      <c r="B133" s="702" t="s">
        <v>4262</v>
      </c>
      <c r="C133" s="709"/>
      <c r="D133" s="727">
        <f t="shared" ref="D133:D164" si="5">K133+L133+M133+N133+O133+P133+Q133+R133+S133+T133+U133+V133</f>
        <v>120</v>
      </c>
      <c r="E133" s="704" t="s">
        <v>693</v>
      </c>
      <c r="F133" s="709"/>
      <c r="G133" s="709"/>
      <c r="H133" s="709"/>
      <c r="I133" s="709"/>
      <c r="J133" s="709"/>
      <c r="K133" s="704"/>
      <c r="L133" s="709"/>
      <c r="M133" s="709"/>
      <c r="N133" s="709"/>
      <c r="O133" s="709"/>
      <c r="P133" s="709">
        <v>20</v>
      </c>
      <c r="Q133" s="709"/>
      <c r="R133" s="709"/>
      <c r="S133" s="709"/>
      <c r="T133" s="709">
        <v>50</v>
      </c>
      <c r="U133" s="709">
        <v>50</v>
      </c>
      <c r="V133" s="709"/>
      <c r="W133" s="728"/>
      <c r="X133" s="727"/>
      <c r="Y133" s="709"/>
      <c r="Z133" s="709"/>
      <c r="AA133" s="709"/>
      <c r="AB133" s="709"/>
      <c r="AC133" s="699" t="s">
        <v>4236</v>
      </c>
      <c r="AD133" s="940" t="s">
        <v>4755</v>
      </c>
      <c r="AE133" s="940">
        <v>3</v>
      </c>
      <c r="AF133" s="940">
        <f t="shared" ref="AF133:AF164" si="6">D133-AE133</f>
        <v>117</v>
      </c>
      <c r="AG133" s="943">
        <v>20250</v>
      </c>
    </row>
    <row r="134" spans="1:33" ht="30">
      <c r="A134" s="701">
        <v>131</v>
      </c>
      <c r="B134" s="712" t="s">
        <v>4338</v>
      </c>
      <c r="C134" s="709"/>
      <c r="D134" s="727">
        <f t="shared" si="5"/>
        <v>205</v>
      </c>
      <c r="E134" s="704" t="s">
        <v>286</v>
      </c>
      <c r="F134" s="709"/>
      <c r="G134" s="709"/>
      <c r="H134" s="709"/>
      <c r="I134" s="709"/>
      <c r="J134" s="709"/>
      <c r="K134" s="709"/>
      <c r="L134" s="709"/>
      <c r="M134" s="709"/>
      <c r="N134" s="709"/>
      <c r="O134" s="709"/>
      <c r="P134" s="709">
        <v>20</v>
      </c>
      <c r="Q134" s="709">
        <v>80</v>
      </c>
      <c r="R134" s="709">
        <v>80</v>
      </c>
      <c r="S134" s="709"/>
      <c r="T134" s="709"/>
      <c r="U134" s="709"/>
      <c r="V134" s="709">
        <v>25</v>
      </c>
      <c r="W134" s="728"/>
      <c r="X134" s="727"/>
      <c r="Y134" s="709"/>
      <c r="Z134" s="709"/>
      <c r="AA134" s="709"/>
      <c r="AB134" s="709"/>
      <c r="AC134" s="699" t="s">
        <v>4236</v>
      </c>
      <c r="AD134" s="940" t="s">
        <v>4755</v>
      </c>
      <c r="AE134" s="940">
        <v>32</v>
      </c>
      <c r="AF134" s="940">
        <f t="shared" si="6"/>
        <v>173</v>
      </c>
      <c r="AG134" s="943">
        <v>243200</v>
      </c>
    </row>
    <row r="135" spans="1:33" ht="30">
      <c r="A135" s="701">
        <v>132</v>
      </c>
      <c r="B135" s="712" t="s">
        <v>4339</v>
      </c>
      <c r="C135" s="709"/>
      <c r="D135" s="727">
        <f t="shared" si="5"/>
        <v>230</v>
      </c>
      <c r="E135" s="704" t="s">
        <v>286</v>
      </c>
      <c r="F135" s="709"/>
      <c r="G135" s="709"/>
      <c r="H135" s="709"/>
      <c r="I135" s="709"/>
      <c r="J135" s="709"/>
      <c r="K135" s="709"/>
      <c r="L135" s="709"/>
      <c r="M135" s="709"/>
      <c r="N135" s="709"/>
      <c r="O135" s="709"/>
      <c r="P135" s="709">
        <v>20</v>
      </c>
      <c r="Q135" s="709">
        <v>80</v>
      </c>
      <c r="R135" s="709">
        <v>80</v>
      </c>
      <c r="S135" s="709"/>
      <c r="T135" s="709"/>
      <c r="U135" s="709"/>
      <c r="V135" s="709">
        <v>50</v>
      </c>
      <c r="W135" s="728"/>
      <c r="X135" s="727"/>
      <c r="Y135" s="709"/>
      <c r="Z135" s="709"/>
      <c r="AA135" s="709"/>
      <c r="AB135" s="709"/>
      <c r="AC135" s="699" t="s">
        <v>4236</v>
      </c>
      <c r="AD135" s="940" t="s">
        <v>4755</v>
      </c>
      <c r="AE135" s="940">
        <v>33</v>
      </c>
      <c r="AF135" s="940">
        <f t="shared" si="6"/>
        <v>197</v>
      </c>
      <c r="AG135" s="943">
        <v>250800</v>
      </c>
    </row>
    <row r="136" spans="1:33">
      <c r="A136" s="704">
        <v>133</v>
      </c>
      <c r="B136" s="702" t="s">
        <v>4340</v>
      </c>
      <c r="C136" s="709"/>
      <c r="D136" s="727">
        <f t="shared" si="5"/>
        <v>520</v>
      </c>
      <c r="E136" s="704" t="s">
        <v>286</v>
      </c>
      <c r="F136" s="709"/>
      <c r="G136" s="709"/>
      <c r="H136" s="709"/>
      <c r="I136" s="709"/>
      <c r="J136" s="709"/>
      <c r="K136" s="709"/>
      <c r="L136" s="709"/>
      <c r="M136" s="709"/>
      <c r="N136" s="709"/>
      <c r="O136" s="709"/>
      <c r="P136" s="709">
        <v>20</v>
      </c>
      <c r="Q136" s="709">
        <v>200</v>
      </c>
      <c r="R136" s="709">
        <v>200</v>
      </c>
      <c r="S136" s="709"/>
      <c r="T136" s="709"/>
      <c r="U136" s="709"/>
      <c r="V136" s="709">
        <v>100</v>
      </c>
      <c r="W136" s="728"/>
      <c r="X136" s="727"/>
      <c r="Y136" s="709"/>
      <c r="Z136" s="709"/>
      <c r="AA136" s="709"/>
      <c r="AB136" s="709"/>
      <c r="AC136" s="699" t="s">
        <v>4236</v>
      </c>
      <c r="AD136" s="940"/>
      <c r="AE136" s="940"/>
      <c r="AF136" s="940">
        <f t="shared" si="6"/>
        <v>520</v>
      </c>
      <c r="AG136" s="943"/>
    </row>
    <row r="137" spans="1:33" ht="30">
      <c r="A137" s="701">
        <v>134</v>
      </c>
      <c r="B137" s="702" t="s">
        <v>4387</v>
      </c>
      <c r="C137" s="709"/>
      <c r="D137" s="727">
        <f t="shared" si="5"/>
        <v>55</v>
      </c>
      <c r="E137" s="704" t="s">
        <v>693</v>
      </c>
      <c r="F137" s="709"/>
      <c r="G137" s="709"/>
      <c r="H137" s="709"/>
      <c r="I137" s="709"/>
      <c r="J137" s="709"/>
      <c r="K137" s="709"/>
      <c r="L137" s="709"/>
      <c r="M137" s="709"/>
      <c r="N137" s="709"/>
      <c r="O137" s="709"/>
      <c r="P137" s="709">
        <v>5</v>
      </c>
      <c r="Q137" s="709"/>
      <c r="R137" s="709"/>
      <c r="S137" s="709"/>
      <c r="T137" s="709"/>
      <c r="U137" s="709"/>
      <c r="V137" s="709">
        <v>50</v>
      </c>
      <c r="W137" s="728"/>
      <c r="X137" s="727"/>
      <c r="Y137" s="709"/>
      <c r="Z137" s="709"/>
      <c r="AA137" s="709"/>
      <c r="AB137" s="709"/>
      <c r="AC137" s="699" t="s">
        <v>4236</v>
      </c>
      <c r="AD137" s="940" t="s">
        <v>4755</v>
      </c>
      <c r="AE137" s="940">
        <v>10</v>
      </c>
      <c r="AF137" s="940">
        <f t="shared" si="6"/>
        <v>45</v>
      </c>
      <c r="AG137" s="943">
        <v>76000</v>
      </c>
    </row>
    <row r="138" spans="1:33" ht="37.5">
      <c r="A138" s="701">
        <v>135</v>
      </c>
      <c r="B138" s="702" t="s">
        <v>4258</v>
      </c>
      <c r="C138" s="721" t="s">
        <v>4409</v>
      </c>
      <c r="D138" s="727">
        <f t="shared" si="5"/>
        <v>300</v>
      </c>
      <c r="E138" s="704" t="s">
        <v>693</v>
      </c>
      <c r="F138" s="709"/>
      <c r="G138" s="709"/>
      <c r="H138" s="709"/>
      <c r="I138" s="709"/>
      <c r="J138" s="709"/>
      <c r="K138" s="701"/>
      <c r="L138" s="709">
        <v>150</v>
      </c>
      <c r="M138" s="709">
        <v>25</v>
      </c>
      <c r="N138" s="709">
        <v>25</v>
      </c>
      <c r="O138" s="709"/>
      <c r="P138" s="709">
        <v>20</v>
      </c>
      <c r="Q138" s="709"/>
      <c r="R138" s="709"/>
      <c r="S138" s="709"/>
      <c r="T138" s="709">
        <v>50</v>
      </c>
      <c r="U138" s="709">
        <v>30</v>
      </c>
      <c r="V138" s="709"/>
      <c r="W138" s="728"/>
      <c r="X138" s="727"/>
      <c r="Y138" s="709"/>
      <c r="Z138" s="709"/>
      <c r="AA138" s="709"/>
      <c r="AB138" s="709"/>
      <c r="AC138" s="699" t="s">
        <v>4236</v>
      </c>
      <c r="AD138" s="940" t="s">
        <v>4755</v>
      </c>
      <c r="AE138" s="940">
        <v>27</v>
      </c>
      <c r="AF138" s="940">
        <f t="shared" si="6"/>
        <v>273</v>
      </c>
      <c r="AG138" s="943">
        <v>246240</v>
      </c>
    </row>
    <row r="139" spans="1:33" ht="56.25">
      <c r="A139" s="704">
        <v>136</v>
      </c>
      <c r="B139" s="702" t="s">
        <v>4259</v>
      </c>
      <c r="C139" s="721" t="s">
        <v>4410</v>
      </c>
      <c r="D139" s="727">
        <f t="shared" si="5"/>
        <v>245</v>
      </c>
      <c r="E139" s="704" t="s">
        <v>286</v>
      </c>
      <c r="F139" s="709"/>
      <c r="G139" s="709"/>
      <c r="H139" s="709"/>
      <c r="I139" s="709"/>
      <c r="J139" s="709"/>
      <c r="K139" s="701"/>
      <c r="L139" s="709">
        <v>100</v>
      </c>
      <c r="M139" s="709">
        <v>25</v>
      </c>
      <c r="N139" s="709">
        <v>25</v>
      </c>
      <c r="O139" s="709"/>
      <c r="P139" s="709">
        <v>15</v>
      </c>
      <c r="Q139" s="709">
        <v>25</v>
      </c>
      <c r="R139" s="709">
        <v>10</v>
      </c>
      <c r="S139" s="709">
        <v>10</v>
      </c>
      <c r="T139" s="709">
        <v>15</v>
      </c>
      <c r="U139" s="709">
        <v>20</v>
      </c>
      <c r="V139" s="709"/>
      <c r="W139" s="728"/>
      <c r="X139" s="727"/>
      <c r="Y139" s="709"/>
      <c r="Z139" s="709"/>
      <c r="AA139" s="709"/>
      <c r="AB139" s="709"/>
      <c r="AC139" s="699" t="s">
        <v>4236</v>
      </c>
      <c r="AD139" s="940" t="s">
        <v>4755</v>
      </c>
      <c r="AE139" s="975">
        <v>26</v>
      </c>
      <c r="AF139" s="940">
        <f t="shared" si="6"/>
        <v>219</v>
      </c>
      <c r="AG139" s="943">
        <v>2173600</v>
      </c>
    </row>
    <row r="140" spans="1:33" ht="30">
      <c r="A140" s="701">
        <v>137</v>
      </c>
      <c r="B140" s="702" t="s">
        <v>4260</v>
      </c>
      <c r="C140" s="709"/>
      <c r="D140" s="727">
        <f t="shared" si="5"/>
        <v>125</v>
      </c>
      <c r="E140" s="704" t="s">
        <v>286</v>
      </c>
      <c r="F140" s="709"/>
      <c r="G140" s="709"/>
      <c r="H140" s="709"/>
      <c r="I140" s="709"/>
      <c r="J140" s="709"/>
      <c r="K140" s="704"/>
      <c r="L140" s="709"/>
      <c r="M140" s="709"/>
      <c r="N140" s="709"/>
      <c r="O140" s="709"/>
      <c r="P140" s="709">
        <v>15</v>
      </c>
      <c r="Q140" s="709">
        <v>25</v>
      </c>
      <c r="R140" s="709">
        <v>15</v>
      </c>
      <c r="S140" s="709"/>
      <c r="T140" s="709">
        <v>40</v>
      </c>
      <c r="U140" s="709">
        <v>30</v>
      </c>
      <c r="V140" s="709"/>
      <c r="W140" s="728"/>
      <c r="X140" s="727"/>
      <c r="Y140" s="709"/>
      <c r="Z140" s="709"/>
      <c r="AA140" s="709"/>
      <c r="AB140" s="709"/>
      <c r="AC140" s="699" t="s">
        <v>4236</v>
      </c>
      <c r="AD140" s="940" t="s">
        <v>4755</v>
      </c>
      <c r="AE140" s="940">
        <v>8</v>
      </c>
      <c r="AF140" s="940">
        <f t="shared" si="6"/>
        <v>117</v>
      </c>
      <c r="AG140" s="943">
        <v>273600</v>
      </c>
    </row>
    <row r="141" spans="1:33" ht="37.5">
      <c r="A141" s="701">
        <v>138</v>
      </c>
      <c r="B141" s="702" t="s">
        <v>4268</v>
      </c>
      <c r="C141" s="709"/>
      <c r="D141" s="727">
        <f t="shared" si="5"/>
        <v>40</v>
      </c>
      <c r="E141" s="704" t="s">
        <v>286</v>
      </c>
      <c r="F141" s="709"/>
      <c r="G141" s="709"/>
      <c r="H141" s="709"/>
      <c r="I141" s="709"/>
      <c r="J141" s="709"/>
      <c r="K141" s="704"/>
      <c r="L141" s="709"/>
      <c r="M141" s="709"/>
      <c r="N141" s="709"/>
      <c r="O141" s="709"/>
      <c r="P141" s="709">
        <v>40</v>
      </c>
      <c r="Q141" s="709"/>
      <c r="R141" s="709"/>
      <c r="S141" s="709"/>
      <c r="T141" s="709"/>
      <c r="U141" s="709"/>
      <c r="V141" s="709"/>
      <c r="W141" s="728"/>
      <c r="X141" s="727"/>
      <c r="Y141" s="709"/>
      <c r="Z141" s="709"/>
      <c r="AA141" s="709"/>
      <c r="AB141" s="709"/>
      <c r="AC141" s="699" t="s">
        <v>4236</v>
      </c>
      <c r="AD141" s="940" t="s">
        <v>4755</v>
      </c>
      <c r="AE141" s="940">
        <v>5</v>
      </c>
      <c r="AF141" s="940">
        <f t="shared" si="6"/>
        <v>35</v>
      </c>
      <c r="AG141" s="943">
        <v>114000</v>
      </c>
    </row>
    <row r="142" spans="1:33" ht="30">
      <c r="A142" s="704">
        <v>139</v>
      </c>
      <c r="B142" s="702" t="s">
        <v>4283</v>
      </c>
      <c r="C142" s="709"/>
      <c r="D142" s="727">
        <f t="shared" si="5"/>
        <v>65</v>
      </c>
      <c r="E142" s="704" t="s">
        <v>286</v>
      </c>
      <c r="F142" s="709"/>
      <c r="G142" s="709"/>
      <c r="H142" s="709"/>
      <c r="I142" s="709"/>
      <c r="J142" s="709"/>
      <c r="K142" s="704"/>
      <c r="L142" s="709"/>
      <c r="M142" s="709"/>
      <c r="N142" s="709"/>
      <c r="O142" s="709"/>
      <c r="P142" s="709">
        <v>25</v>
      </c>
      <c r="Q142" s="709"/>
      <c r="R142" s="709"/>
      <c r="S142" s="709"/>
      <c r="T142" s="709">
        <v>20</v>
      </c>
      <c r="U142" s="709">
        <v>20</v>
      </c>
      <c r="V142" s="709"/>
      <c r="W142" s="728"/>
      <c r="X142" s="727"/>
      <c r="Y142" s="709"/>
      <c r="Z142" s="709"/>
      <c r="AA142" s="709"/>
      <c r="AB142" s="709"/>
      <c r="AC142" s="699" t="s">
        <v>4236</v>
      </c>
      <c r="AD142" s="940" t="s">
        <v>4755</v>
      </c>
      <c r="AE142" s="940">
        <v>3</v>
      </c>
      <c r="AF142" s="940">
        <f t="shared" si="6"/>
        <v>62</v>
      </c>
      <c r="AG142" s="943">
        <v>15960</v>
      </c>
    </row>
    <row r="143" spans="1:33">
      <c r="A143" s="701">
        <v>140</v>
      </c>
      <c r="B143" s="702" t="s">
        <v>4303</v>
      </c>
      <c r="C143" s="98"/>
      <c r="D143" s="727">
        <f t="shared" si="5"/>
        <v>0</v>
      </c>
      <c r="E143" s="704" t="s">
        <v>286</v>
      </c>
      <c r="F143" s="98"/>
      <c r="G143" s="98"/>
      <c r="H143" s="98"/>
      <c r="I143" s="98"/>
      <c r="J143" s="98"/>
      <c r="K143" s="704"/>
      <c r="L143" s="98"/>
      <c r="M143" s="98"/>
      <c r="N143" s="98"/>
      <c r="O143" s="98"/>
      <c r="P143" s="98"/>
      <c r="Q143" s="98"/>
      <c r="R143" s="98"/>
      <c r="S143" s="98"/>
      <c r="T143" s="709"/>
      <c r="U143" s="709"/>
      <c r="V143" s="709"/>
      <c r="W143" s="728"/>
      <c r="X143" s="727"/>
      <c r="Y143" s="709"/>
      <c r="Z143" s="709"/>
      <c r="AA143" s="709"/>
      <c r="AB143" s="709"/>
      <c r="AC143" s="699" t="s">
        <v>4236</v>
      </c>
      <c r="AD143" s="940"/>
      <c r="AE143" s="940"/>
      <c r="AF143" s="940">
        <f t="shared" si="6"/>
        <v>0</v>
      </c>
      <c r="AG143" s="943"/>
    </row>
    <row r="144" spans="1:33" ht="30">
      <c r="A144" s="701">
        <v>141</v>
      </c>
      <c r="B144" s="702" t="s">
        <v>743</v>
      </c>
      <c r="C144" s="98"/>
      <c r="D144" s="727">
        <f t="shared" si="5"/>
        <v>105</v>
      </c>
      <c r="E144" s="704" t="s">
        <v>286</v>
      </c>
      <c r="F144" s="98"/>
      <c r="G144" s="98"/>
      <c r="H144" s="98"/>
      <c r="I144" s="98"/>
      <c r="J144" s="98"/>
      <c r="K144" s="704"/>
      <c r="L144" s="98"/>
      <c r="M144" s="98"/>
      <c r="N144" s="98"/>
      <c r="O144" s="98"/>
      <c r="P144" s="98"/>
      <c r="Q144" s="98">
        <v>20</v>
      </c>
      <c r="R144" s="98">
        <v>20</v>
      </c>
      <c r="S144" s="98"/>
      <c r="T144" s="709">
        <v>40</v>
      </c>
      <c r="U144" s="709">
        <v>25</v>
      </c>
      <c r="V144" s="709"/>
      <c r="W144" s="728"/>
      <c r="X144" s="727"/>
      <c r="Y144" s="709"/>
      <c r="Z144" s="709"/>
      <c r="AA144" s="709"/>
      <c r="AB144" s="709"/>
      <c r="AC144" s="699" t="s">
        <v>4236</v>
      </c>
      <c r="AD144" s="940" t="s">
        <v>4755</v>
      </c>
      <c r="AE144" s="940">
        <v>25</v>
      </c>
      <c r="AF144" s="940">
        <f t="shared" si="6"/>
        <v>80</v>
      </c>
      <c r="AG144" s="943">
        <v>950000</v>
      </c>
    </row>
    <row r="145" spans="1:33">
      <c r="A145" s="704">
        <v>142</v>
      </c>
      <c r="B145" s="702" t="s">
        <v>4310</v>
      </c>
      <c r="C145" s="98"/>
      <c r="D145" s="727">
        <f t="shared" si="5"/>
        <v>0</v>
      </c>
      <c r="E145" s="704" t="s">
        <v>286</v>
      </c>
      <c r="F145" s="98"/>
      <c r="G145" s="98"/>
      <c r="H145" s="98"/>
      <c r="I145" s="98"/>
      <c r="J145" s="98"/>
      <c r="K145" s="704"/>
      <c r="L145" s="98"/>
      <c r="M145" s="98"/>
      <c r="N145" s="98"/>
      <c r="O145" s="98"/>
      <c r="P145" s="98"/>
      <c r="Q145" s="98"/>
      <c r="R145" s="98"/>
      <c r="S145" s="98"/>
      <c r="T145" s="709"/>
      <c r="U145" s="709"/>
      <c r="V145" s="709"/>
      <c r="W145" s="728"/>
      <c r="X145" s="727"/>
      <c r="Y145" s="709"/>
      <c r="Z145" s="709"/>
      <c r="AA145" s="709"/>
      <c r="AB145" s="709"/>
      <c r="AC145" s="699" t="s">
        <v>4236</v>
      </c>
      <c r="AD145" s="940"/>
      <c r="AE145" s="940"/>
      <c r="AF145" s="940">
        <f t="shared" si="6"/>
        <v>0</v>
      </c>
      <c r="AG145" s="943"/>
    </row>
    <row r="146" spans="1:33">
      <c r="A146" s="701">
        <v>143</v>
      </c>
      <c r="B146" s="700" t="s">
        <v>4305</v>
      </c>
      <c r="C146" s="709"/>
      <c r="D146" s="727">
        <f t="shared" si="5"/>
        <v>0</v>
      </c>
      <c r="E146" s="704" t="s">
        <v>286</v>
      </c>
      <c r="F146" s="709"/>
      <c r="G146" s="709"/>
      <c r="H146" s="709"/>
      <c r="I146" s="709"/>
      <c r="J146" s="709"/>
      <c r="K146" s="701"/>
      <c r="L146" s="709"/>
      <c r="M146" s="709"/>
      <c r="N146" s="709"/>
      <c r="O146" s="709"/>
      <c r="P146" s="709"/>
      <c r="Q146" s="709"/>
      <c r="R146" s="709"/>
      <c r="S146" s="709"/>
      <c r="T146" s="709"/>
      <c r="U146" s="709"/>
      <c r="V146" s="709"/>
      <c r="W146" s="728"/>
      <c r="X146" s="727"/>
      <c r="Y146" s="709"/>
      <c r="Z146" s="709"/>
      <c r="AA146" s="709"/>
      <c r="AB146" s="709"/>
      <c r="AC146" s="699" t="s">
        <v>4236</v>
      </c>
      <c r="AD146" s="940"/>
      <c r="AE146" s="940"/>
      <c r="AF146" s="940">
        <f t="shared" si="6"/>
        <v>0</v>
      </c>
      <c r="AG146" s="943"/>
    </row>
    <row r="147" spans="1:33">
      <c r="A147" s="701">
        <v>144</v>
      </c>
      <c r="B147" s="702" t="s">
        <v>4375</v>
      </c>
      <c r="C147" s="714" t="s">
        <v>645</v>
      </c>
      <c r="D147" s="727">
        <f t="shared" si="5"/>
        <v>15</v>
      </c>
      <c r="E147" s="704" t="s">
        <v>693</v>
      </c>
      <c r="F147" s="709"/>
      <c r="G147" s="709"/>
      <c r="H147" s="709"/>
      <c r="I147" s="709"/>
      <c r="J147" s="709"/>
      <c r="K147" s="704"/>
      <c r="L147" s="709"/>
      <c r="M147" s="709"/>
      <c r="N147" s="709"/>
      <c r="O147" s="709"/>
      <c r="P147" s="709"/>
      <c r="Q147" s="709"/>
      <c r="R147" s="709">
        <v>15</v>
      </c>
      <c r="S147" s="709"/>
      <c r="T147" s="709"/>
      <c r="U147" s="709"/>
      <c r="V147" s="709"/>
      <c r="W147" s="728"/>
      <c r="X147" s="727"/>
      <c r="Y147" s="709"/>
      <c r="Z147" s="709"/>
      <c r="AA147" s="709"/>
      <c r="AB147" s="709"/>
      <c r="AC147" s="699" t="s">
        <v>4236</v>
      </c>
      <c r="AD147" s="940"/>
      <c r="AE147" s="940"/>
      <c r="AF147" s="940">
        <f t="shared" si="6"/>
        <v>15</v>
      </c>
      <c r="AG147" s="943"/>
    </row>
    <row r="148" spans="1:33" ht="150">
      <c r="A148" s="704">
        <v>145</v>
      </c>
      <c r="B148" s="702" t="s">
        <v>4250</v>
      </c>
      <c r="C148" s="721" t="s">
        <v>4429</v>
      </c>
      <c r="D148" s="727">
        <f t="shared" si="5"/>
        <v>590</v>
      </c>
      <c r="E148" s="704" t="s">
        <v>693</v>
      </c>
      <c r="F148" s="709"/>
      <c r="G148" s="709"/>
      <c r="H148" s="709"/>
      <c r="I148" s="709"/>
      <c r="J148" s="709"/>
      <c r="K148" s="704"/>
      <c r="L148" s="709">
        <v>60</v>
      </c>
      <c r="M148" s="709">
        <v>20</v>
      </c>
      <c r="N148" s="709">
        <v>20</v>
      </c>
      <c r="O148" s="709">
        <v>100</v>
      </c>
      <c r="P148" s="709">
        <v>100</v>
      </c>
      <c r="Q148" s="709">
        <v>20</v>
      </c>
      <c r="R148" s="709"/>
      <c r="S148" s="709"/>
      <c r="T148" s="709">
        <v>150</v>
      </c>
      <c r="U148" s="709">
        <v>50</v>
      </c>
      <c r="V148" s="709">
        <v>70</v>
      </c>
      <c r="W148" s="728"/>
      <c r="X148" s="727"/>
      <c r="Y148" s="709"/>
      <c r="Z148" s="709"/>
      <c r="AA148" s="709"/>
      <c r="AB148" s="709"/>
      <c r="AC148" s="699" t="s">
        <v>4236</v>
      </c>
      <c r="AD148" s="940" t="s">
        <v>4755</v>
      </c>
      <c r="AE148" s="940">
        <v>50</v>
      </c>
      <c r="AF148" s="940">
        <f t="shared" si="6"/>
        <v>540</v>
      </c>
      <c r="AG148" s="943">
        <v>1140000</v>
      </c>
    </row>
    <row r="149" spans="1:33">
      <c r="A149" s="701">
        <v>146</v>
      </c>
      <c r="B149" s="700" t="s">
        <v>4350</v>
      </c>
      <c r="C149" s="714" t="s">
        <v>4351</v>
      </c>
      <c r="D149" s="727">
        <f t="shared" si="5"/>
        <v>4</v>
      </c>
      <c r="E149" s="704" t="s">
        <v>693</v>
      </c>
      <c r="F149" s="709"/>
      <c r="G149" s="709"/>
      <c r="H149" s="709"/>
      <c r="I149" s="709"/>
      <c r="J149" s="709"/>
      <c r="K149" s="701"/>
      <c r="L149" s="709"/>
      <c r="M149" s="709"/>
      <c r="N149" s="709"/>
      <c r="O149" s="709"/>
      <c r="P149" s="709"/>
      <c r="Q149" s="709">
        <v>4</v>
      </c>
      <c r="R149" s="709"/>
      <c r="S149" s="709"/>
      <c r="T149" s="709"/>
      <c r="U149" s="709"/>
      <c r="V149" s="709"/>
      <c r="W149" s="728"/>
      <c r="X149" s="727"/>
      <c r="Y149" s="709"/>
      <c r="Z149" s="709"/>
      <c r="AA149" s="709"/>
      <c r="AB149" s="709"/>
      <c r="AC149" s="699" t="s">
        <v>4236</v>
      </c>
      <c r="AD149" s="940"/>
      <c r="AE149" s="940"/>
      <c r="AF149" s="940">
        <f t="shared" si="6"/>
        <v>4</v>
      </c>
      <c r="AG149" s="943"/>
    </row>
    <row r="150" spans="1:33">
      <c r="A150" s="701">
        <v>147</v>
      </c>
      <c r="B150" s="700" t="s">
        <v>4304</v>
      </c>
      <c r="C150" s="714" t="s">
        <v>4349</v>
      </c>
      <c r="D150" s="727">
        <f t="shared" si="5"/>
        <v>10</v>
      </c>
      <c r="E150" s="704" t="s">
        <v>693</v>
      </c>
      <c r="F150" s="709"/>
      <c r="G150" s="709"/>
      <c r="H150" s="709"/>
      <c r="I150" s="709"/>
      <c r="J150" s="709"/>
      <c r="K150" s="701"/>
      <c r="L150" s="709"/>
      <c r="M150" s="709"/>
      <c r="N150" s="709"/>
      <c r="O150" s="709"/>
      <c r="P150" s="709"/>
      <c r="Q150" s="709">
        <v>4</v>
      </c>
      <c r="R150" s="709">
        <v>2</v>
      </c>
      <c r="S150" s="709"/>
      <c r="T150" s="709">
        <v>4</v>
      </c>
      <c r="U150" s="709"/>
      <c r="V150" s="709"/>
      <c r="W150" s="728"/>
      <c r="X150" s="727"/>
      <c r="Y150" s="709"/>
      <c r="Z150" s="709"/>
      <c r="AA150" s="709"/>
      <c r="AB150" s="709"/>
      <c r="AC150" s="699" t="s">
        <v>4236</v>
      </c>
      <c r="AD150" s="940"/>
      <c r="AE150" s="940"/>
      <c r="AF150" s="940">
        <f t="shared" si="6"/>
        <v>10</v>
      </c>
      <c r="AG150" s="943"/>
    </row>
    <row r="151" spans="1:33" ht="37.5">
      <c r="A151" s="704">
        <v>148</v>
      </c>
      <c r="B151" s="711" t="s">
        <v>4376</v>
      </c>
      <c r="C151" s="715" t="s">
        <v>685</v>
      </c>
      <c r="D151" s="727">
        <f t="shared" si="5"/>
        <v>26</v>
      </c>
      <c r="E151" s="709"/>
      <c r="F151" s="709"/>
      <c r="G151" s="709"/>
      <c r="H151" s="709"/>
      <c r="I151" s="709"/>
      <c r="J151" s="709"/>
      <c r="K151" s="709"/>
      <c r="L151" s="709"/>
      <c r="M151" s="709"/>
      <c r="N151" s="709"/>
      <c r="O151" s="709"/>
      <c r="P151" s="709"/>
      <c r="Q151" s="709"/>
      <c r="R151" s="709">
        <v>6</v>
      </c>
      <c r="S151" s="709">
        <v>20</v>
      </c>
      <c r="T151" s="709"/>
      <c r="U151" s="709"/>
      <c r="V151" s="709"/>
      <c r="W151" s="728"/>
      <c r="X151" s="727"/>
      <c r="Y151" s="709"/>
      <c r="Z151" s="709"/>
      <c r="AA151" s="709"/>
      <c r="AB151" s="709"/>
      <c r="AC151" s="699" t="s">
        <v>4236</v>
      </c>
      <c r="AD151" s="940" t="s">
        <v>4755</v>
      </c>
      <c r="AE151" s="940">
        <v>6</v>
      </c>
      <c r="AF151" s="940">
        <f t="shared" si="6"/>
        <v>20</v>
      </c>
      <c r="AG151" s="943">
        <v>1824000</v>
      </c>
    </row>
    <row r="152" spans="1:33">
      <c r="A152" s="701">
        <v>149</v>
      </c>
      <c r="B152" s="700" t="s">
        <v>4312</v>
      </c>
      <c r="C152" s="709"/>
      <c r="D152" s="727">
        <f t="shared" si="5"/>
        <v>15</v>
      </c>
      <c r="E152" s="704" t="s">
        <v>286</v>
      </c>
      <c r="F152" s="709"/>
      <c r="G152" s="709"/>
      <c r="H152" s="709"/>
      <c r="I152" s="709"/>
      <c r="J152" s="709"/>
      <c r="K152" s="701"/>
      <c r="L152" s="709"/>
      <c r="M152" s="709"/>
      <c r="N152" s="709"/>
      <c r="O152" s="709"/>
      <c r="P152" s="709"/>
      <c r="Q152" s="709"/>
      <c r="R152" s="709"/>
      <c r="S152" s="709"/>
      <c r="T152" s="709">
        <v>10</v>
      </c>
      <c r="U152" s="709">
        <v>5</v>
      </c>
      <c r="V152" s="709"/>
      <c r="W152" s="728"/>
      <c r="X152" s="727"/>
      <c r="Y152" s="709"/>
      <c r="Z152" s="709"/>
      <c r="AA152" s="709"/>
      <c r="AB152" s="709"/>
      <c r="AC152" s="699" t="s">
        <v>4236</v>
      </c>
      <c r="AD152" s="940"/>
      <c r="AE152" s="940"/>
      <c r="AF152" s="940">
        <f t="shared" si="6"/>
        <v>15</v>
      </c>
      <c r="AG152" s="943"/>
    </row>
    <row r="153" spans="1:33" ht="30">
      <c r="A153" s="701">
        <v>150</v>
      </c>
      <c r="B153" s="702" t="s">
        <v>4368</v>
      </c>
      <c r="C153" s="709"/>
      <c r="D153" s="727">
        <f t="shared" si="5"/>
        <v>90</v>
      </c>
      <c r="E153" s="704" t="s">
        <v>286</v>
      </c>
      <c r="F153" s="709"/>
      <c r="G153" s="709"/>
      <c r="H153" s="709"/>
      <c r="I153" s="709"/>
      <c r="J153" s="709"/>
      <c r="K153" s="701"/>
      <c r="L153" s="709"/>
      <c r="M153" s="709"/>
      <c r="N153" s="709"/>
      <c r="O153" s="709"/>
      <c r="P153" s="709"/>
      <c r="Q153" s="709">
        <v>60</v>
      </c>
      <c r="R153" s="709">
        <v>30</v>
      </c>
      <c r="S153" s="709"/>
      <c r="T153" s="709"/>
      <c r="U153" s="709"/>
      <c r="V153" s="709"/>
      <c r="W153" s="728"/>
      <c r="X153" s="727"/>
      <c r="Y153" s="709"/>
      <c r="Z153" s="709"/>
      <c r="AA153" s="709"/>
      <c r="AB153" s="709"/>
      <c r="AC153" s="699" t="s">
        <v>4236</v>
      </c>
      <c r="AD153" s="940" t="s">
        <v>4755</v>
      </c>
      <c r="AE153" s="940">
        <v>5</v>
      </c>
      <c r="AF153" s="940">
        <f t="shared" si="6"/>
        <v>85</v>
      </c>
      <c r="AG153" s="943">
        <v>57000</v>
      </c>
    </row>
    <row r="154" spans="1:33" ht="37.5">
      <c r="A154" s="701">
        <v>151</v>
      </c>
      <c r="B154" s="702" t="s">
        <v>4331</v>
      </c>
      <c r="C154" s="721" t="s">
        <v>4412</v>
      </c>
      <c r="D154" s="727">
        <f t="shared" si="5"/>
        <v>330</v>
      </c>
      <c r="E154" s="704" t="s">
        <v>286</v>
      </c>
      <c r="F154" s="709"/>
      <c r="G154" s="709"/>
      <c r="H154" s="709"/>
      <c r="I154" s="709"/>
      <c r="J154" s="709"/>
      <c r="K154" s="701"/>
      <c r="L154" s="709">
        <v>30</v>
      </c>
      <c r="M154" s="709">
        <v>15</v>
      </c>
      <c r="N154" s="709">
        <v>15</v>
      </c>
      <c r="O154" s="709"/>
      <c r="P154" s="709">
        <v>20</v>
      </c>
      <c r="Q154" s="709">
        <v>60</v>
      </c>
      <c r="R154" s="709">
        <v>40</v>
      </c>
      <c r="S154" s="709"/>
      <c r="T154" s="709">
        <v>100</v>
      </c>
      <c r="U154" s="709">
        <v>50</v>
      </c>
      <c r="V154" s="709"/>
      <c r="W154" s="728"/>
      <c r="X154" s="727"/>
      <c r="Y154" s="709"/>
      <c r="Z154" s="709"/>
      <c r="AA154" s="709"/>
      <c r="AB154" s="709"/>
      <c r="AC154" s="699" t="s">
        <v>4236</v>
      </c>
      <c r="AD154" s="940" t="s">
        <v>4755</v>
      </c>
      <c r="AE154" s="940">
        <v>25</v>
      </c>
      <c r="AF154" s="940">
        <f t="shared" si="6"/>
        <v>305</v>
      </c>
      <c r="AG154" s="943">
        <v>247000</v>
      </c>
    </row>
    <row r="155" spans="1:33" ht="37.5">
      <c r="A155" s="701">
        <v>152</v>
      </c>
      <c r="B155" s="702" t="s">
        <v>4297</v>
      </c>
      <c r="C155" s="709"/>
      <c r="D155" s="727">
        <f t="shared" si="5"/>
        <v>100</v>
      </c>
      <c r="E155" s="704" t="s">
        <v>693</v>
      </c>
      <c r="F155" s="709"/>
      <c r="G155" s="709"/>
      <c r="H155" s="709"/>
      <c r="I155" s="709"/>
      <c r="J155" s="709"/>
      <c r="K155" s="701"/>
      <c r="L155" s="709"/>
      <c r="M155" s="709"/>
      <c r="N155" s="709"/>
      <c r="O155" s="709"/>
      <c r="P155" s="709"/>
      <c r="Q155" s="709"/>
      <c r="R155" s="709"/>
      <c r="S155" s="709"/>
      <c r="T155" s="709">
        <v>50</v>
      </c>
      <c r="U155" s="709">
        <v>50</v>
      </c>
      <c r="V155" s="709"/>
      <c r="W155" s="728"/>
      <c r="X155" s="727"/>
      <c r="Y155" s="709"/>
      <c r="Z155" s="709"/>
      <c r="AA155" s="709"/>
      <c r="AB155" s="709"/>
      <c r="AC155" s="699" t="s">
        <v>4236</v>
      </c>
      <c r="AD155" s="940"/>
      <c r="AE155" s="940"/>
      <c r="AF155" s="940">
        <f t="shared" si="6"/>
        <v>100</v>
      </c>
      <c r="AG155" s="943"/>
    </row>
    <row r="156" spans="1:33" s="669" customFormat="1" ht="37.5">
      <c r="A156" s="704">
        <v>153</v>
      </c>
      <c r="B156" s="726" t="s">
        <v>4426</v>
      </c>
      <c r="C156" s="721" t="s">
        <v>4425</v>
      </c>
      <c r="D156" s="727">
        <f t="shared" si="5"/>
        <v>4</v>
      </c>
      <c r="E156" s="722" t="s">
        <v>693</v>
      </c>
      <c r="F156" s="709"/>
      <c r="G156" s="709"/>
      <c r="H156" s="709"/>
      <c r="I156" s="709"/>
      <c r="J156" s="709"/>
      <c r="K156" s="701"/>
      <c r="L156" s="709">
        <v>2</v>
      </c>
      <c r="M156" s="709">
        <v>1</v>
      </c>
      <c r="N156" s="709">
        <v>1</v>
      </c>
      <c r="O156" s="709"/>
      <c r="P156" s="709"/>
      <c r="Q156" s="709"/>
      <c r="R156" s="709"/>
      <c r="S156" s="709"/>
      <c r="T156" s="709"/>
      <c r="U156" s="709"/>
      <c r="V156" s="709"/>
      <c r="W156" s="728"/>
      <c r="X156" s="727"/>
      <c r="Y156" s="709"/>
      <c r="Z156" s="709"/>
      <c r="AA156" s="709"/>
      <c r="AB156" s="709"/>
      <c r="AC156" s="699" t="s">
        <v>4236</v>
      </c>
      <c r="AD156" s="940" t="s">
        <v>4755</v>
      </c>
      <c r="AE156" s="940">
        <v>1</v>
      </c>
      <c r="AF156" s="940">
        <f t="shared" si="6"/>
        <v>3</v>
      </c>
      <c r="AG156" s="943">
        <v>167200</v>
      </c>
    </row>
    <row r="157" spans="1:33" s="669" customFormat="1" ht="37.5">
      <c r="A157" s="701">
        <v>154</v>
      </c>
      <c r="B157" s="726" t="s">
        <v>4424</v>
      </c>
      <c r="C157" s="721" t="s">
        <v>4423</v>
      </c>
      <c r="D157" s="727">
        <f t="shared" si="5"/>
        <v>4</v>
      </c>
      <c r="E157" s="722" t="s">
        <v>693</v>
      </c>
      <c r="F157" s="709"/>
      <c r="G157" s="709"/>
      <c r="H157" s="709"/>
      <c r="I157" s="709"/>
      <c r="J157" s="709"/>
      <c r="K157" s="701"/>
      <c r="L157" s="709">
        <v>2</v>
      </c>
      <c r="M157" s="709">
        <v>1</v>
      </c>
      <c r="N157" s="709">
        <v>1</v>
      </c>
      <c r="O157" s="709"/>
      <c r="P157" s="709"/>
      <c r="Q157" s="709"/>
      <c r="R157" s="709"/>
      <c r="S157" s="709"/>
      <c r="T157" s="709"/>
      <c r="U157" s="709"/>
      <c r="V157" s="709"/>
      <c r="W157" s="728"/>
      <c r="X157" s="727"/>
      <c r="Y157" s="709"/>
      <c r="Z157" s="709"/>
      <c r="AA157" s="709"/>
      <c r="AB157" s="709"/>
      <c r="AC157" s="699" t="s">
        <v>4236</v>
      </c>
      <c r="AD157" s="940" t="s">
        <v>4755</v>
      </c>
      <c r="AE157" s="940">
        <v>1</v>
      </c>
      <c r="AF157" s="940">
        <f t="shared" si="6"/>
        <v>3</v>
      </c>
      <c r="AG157" s="943">
        <v>167200</v>
      </c>
    </row>
    <row r="158" spans="1:33" s="669" customFormat="1" ht="37.5">
      <c r="A158" s="701">
        <v>155</v>
      </c>
      <c r="B158" s="726" t="s">
        <v>4422</v>
      </c>
      <c r="C158" s="721" t="s">
        <v>4421</v>
      </c>
      <c r="D158" s="727">
        <f t="shared" si="5"/>
        <v>8</v>
      </c>
      <c r="E158" s="722" t="s">
        <v>693</v>
      </c>
      <c r="F158" s="709"/>
      <c r="G158" s="709"/>
      <c r="H158" s="709"/>
      <c r="I158" s="709"/>
      <c r="J158" s="709"/>
      <c r="K158" s="701"/>
      <c r="L158" s="709">
        <v>4</v>
      </c>
      <c r="M158" s="709">
        <v>2</v>
      </c>
      <c r="N158" s="709">
        <v>2</v>
      </c>
      <c r="O158" s="709"/>
      <c r="P158" s="709"/>
      <c r="Q158" s="709"/>
      <c r="R158" s="709"/>
      <c r="S158" s="709"/>
      <c r="T158" s="709"/>
      <c r="U158" s="709"/>
      <c r="V158" s="709"/>
      <c r="W158" s="728"/>
      <c r="X158" s="727"/>
      <c r="Y158" s="709"/>
      <c r="Z158" s="709"/>
      <c r="AA158" s="709"/>
      <c r="AB158" s="709"/>
      <c r="AC158" s="699" t="s">
        <v>4236</v>
      </c>
      <c r="AD158" s="940" t="s">
        <v>4755</v>
      </c>
      <c r="AE158" s="940">
        <v>2</v>
      </c>
      <c r="AF158" s="940">
        <f t="shared" si="6"/>
        <v>6</v>
      </c>
      <c r="AG158" s="943">
        <v>349600</v>
      </c>
    </row>
    <row r="159" spans="1:33" s="669" customFormat="1" ht="37.5">
      <c r="A159" s="704">
        <v>156</v>
      </c>
      <c r="B159" s="726" t="s">
        <v>4420</v>
      </c>
      <c r="C159" s="721" t="s">
        <v>4419</v>
      </c>
      <c r="D159" s="727">
        <f t="shared" si="5"/>
        <v>8</v>
      </c>
      <c r="E159" s="722" t="s">
        <v>693</v>
      </c>
      <c r="F159" s="709"/>
      <c r="G159" s="709"/>
      <c r="H159" s="709"/>
      <c r="I159" s="709"/>
      <c r="J159" s="709"/>
      <c r="K159" s="701"/>
      <c r="L159" s="709">
        <v>4</v>
      </c>
      <c r="M159" s="709">
        <v>2</v>
      </c>
      <c r="N159" s="709">
        <v>2</v>
      </c>
      <c r="O159" s="709"/>
      <c r="P159" s="709"/>
      <c r="Q159" s="709"/>
      <c r="R159" s="709"/>
      <c r="S159" s="709"/>
      <c r="T159" s="709"/>
      <c r="U159" s="709"/>
      <c r="V159" s="709"/>
      <c r="W159" s="728"/>
      <c r="X159" s="727"/>
      <c r="Y159" s="709"/>
      <c r="Z159" s="709"/>
      <c r="AA159" s="709"/>
      <c r="AB159" s="709"/>
      <c r="AC159" s="699" t="s">
        <v>4236</v>
      </c>
      <c r="AD159" s="940" t="s">
        <v>4755</v>
      </c>
      <c r="AE159" s="940">
        <v>2</v>
      </c>
      <c r="AF159" s="940">
        <f t="shared" si="6"/>
        <v>6</v>
      </c>
      <c r="AG159" s="943">
        <v>364800</v>
      </c>
    </row>
    <row r="160" spans="1:33" s="669" customFormat="1" ht="37.5">
      <c r="A160" s="701">
        <v>157</v>
      </c>
      <c r="B160" s="726" t="s">
        <v>4418</v>
      </c>
      <c r="C160" s="721" t="s">
        <v>4417</v>
      </c>
      <c r="D160" s="727">
        <f t="shared" si="5"/>
        <v>8</v>
      </c>
      <c r="E160" s="722" t="s">
        <v>693</v>
      </c>
      <c r="F160" s="709"/>
      <c r="G160" s="709"/>
      <c r="H160" s="709"/>
      <c r="I160" s="709"/>
      <c r="J160" s="709"/>
      <c r="K160" s="701"/>
      <c r="L160" s="709">
        <v>4</v>
      </c>
      <c r="M160" s="709">
        <v>2</v>
      </c>
      <c r="N160" s="709">
        <v>2</v>
      </c>
      <c r="O160" s="709"/>
      <c r="P160" s="709"/>
      <c r="Q160" s="709"/>
      <c r="R160" s="709"/>
      <c r="S160" s="709"/>
      <c r="T160" s="709"/>
      <c r="U160" s="709"/>
      <c r="V160" s="709"/>
      <c r="W160" s="728"/>
      <c r="X160" s="727"/>
      <c r="Y160" s="709"/>
      <c r="Z160" s="709"/>
      <c r="AA160" s="709"/>
      <c r="AB160" s="709"/>
      <c r="AC160" s="699" t="s">
        <v>4236</v>
      </c>
      <c r="AD160" s="940" t="s">
        <v>4755</v>
      </c>
      <c r="AE160" s="940">
        <v>2</v>
      </c>
      <c r="AF160" s="940">
        <f t="shared" si="6"/>
        <v>6</v>
      </c>
      <c r="AG160" s="943">
        <v>380000</v>
      </c>
    </row>
    <row r="161" spans="1:33" s="669" customFormat="1" ht="37.5">
      <c r="A161" s="701">
        <v>158</v>
      </c>
      <c r="B161" s="726" t="s">
        <v>4416</v>
      </c>
      <c r="C161" s="721" t="s">
        <v>4415</v>
      </c>
      <c r="D161" s="727">
        <f t="shared" si="5"/>
        <v>8</v>
      </c>
      <c r="E161" s="722" t="s">
        <v>693</v>
      </c>
      <c r="F161" s="709"/>
      <c r="G161" s="709"/>
      <c r="H161" s="709"/>
      <c r="I161" s="709"/>
      <c r="J161" s="709"/>
      <c r="K161" s="701"/>
      <c r="L161" s="709">
        <v>4</v>
      </c>
      <c r="M161" s="709">
        <v>2</v>
      </c>
      <c r="N161" s="709">
        <v>2</v>
      </c>
      <c r="O161" s="709"/>
      <c r="P161" s="709"/>
      <c r="Q161" s="709"/>
      <c r="R161" s="709"/>
      <c r="S161" s="709"/>
      <c r="T161" s="709"/>
      <c r="U161" s="709"/>
      <c r="V161" s="709"/>
      <c r="W161" s="728"/>
      <c r="X161" s="727"/>
      <c r="Y161" s="709"/>
      <c r="Z161" s="709"/>
      <c r="AA161" s="709"/>
      <c r="AB161" s="709"/>
      <c r="AC161" s="699" t="s">
        <v>4236</v>
      </c>
      <c r="AD161" s="940" t="s">
        <v>4755</v>
      </c>
      <c r="AE161" s="940">
        <v>2</v>
      </c>
      <c r="AF161" s="940">
        <f t="shared" si="6"/>
        <v>6</v>
      </c>
      <c r="AG161" s="943">
        <v>380000</v>
      </c>
    </row>
    <row r="162" spans="1:33" s="669" customFormat="1" ht="37.5">
      <c r="A162" s="704">
        <v>159</v>
      </c>
      <c r="B162" s="726" t="s">
        <v>4414</v>
      </c>
      <c r="C162" s="721" t="s">
        <v>4413</v>
      </c>
      <c r="D162" s="727">
        <f t="shared" si="5"/>
        <v>8</v>
      </c>
      <c r="E162" s="722" t="s">
        <v>693</v>
      </c>
      <c r="F162" s="709"/>
      <c r="G162" s="709"/>
      <c r="H162" s="709"/>
      <c r="I162" s="709"/>
      <c r="J162" s="709"/>
      <c r="K162" s="701"/>
      <c r="L162" s="709">
        <v>4</v>
      </c>
      <c r="M162" s="709">
        <v>2</v>
      </c>
      <c r="N162" s="709">
        <v>2</v>
      </c>
      <c r="O162" s="709"/>
      <c r="P162" s="709"/>
      <c r="Q162" s="709"/>
      <c r="R162" s="709"/>
      <c r="S162" s="709"/>
      <c r="T162" s="709"/>
      <c r="U162" s="709"/>
      <c r="V162" s="709"/>
      <c r="W162" s="728"/>
      <c r="X162" s="727"/>
      <c r="Y162" s="709"/>
      <c r="Z162" s="709"/>
      <c r="AA162" s="709"/>
      <c r="AB162" s="709"/>
      <c r="AC162" s="699" t="s">
        <v>4236</v>
      </c>
      <c r="AD162" s="940" t="s">
        <v>4755</v>
      </c>
      <c r="AE162" s="940">
        <v>2</v>
      </c>
      <c r="AF162" s="940">
        <f t="shared" si="6"/>
        <v>6</v>
      </c>
      <c r="AG162" s="943">
        <v>380000</v>
      </c>
    </row>
    <row r="163" spans="1:33">
      <c r="A163" s="701">
        <v>160</v>
      </c>
      <c r="B163" s="700" t="s">
        <v>4309</v>
      </c>
      <c r="C163" s="709"/>
      <c r="D163" s="727">
        <f t="shared" si="5"/>
        <v>0</v>
      </c>
      <c r="E163" s="704" t="s">
        <v>286</v>
      </c>
      <c r="F163" s="709"/>
      <c r="G163" s="709"/>
      <c r="H163" s="709"/>
      <c r="I163" s="709"/>
      <c r="J163" s="709"/>
      <c r="K163" s="701"/>
      <c r="L163" s="709"/>
      <c r="M163" s="709"/>
      <c r="N163" s="709"/>
      <c r="O163" s="709"/>
      <c r="P163" s="709"/>
      <c r="Q163" s="709"/>
      <c r="R163" s="709"/>
      <c r="S163" s="709"/>
      <c r="T163" s="709"/>
      <c r="U163" s="709"/>
      <c r="V163" s="709"/>
      <c r="W163" s="728"/>
      <c r="X163" s="727"/>
      <c r="Y163" s="709"/>
      <c r="Z163" s="709"/>
      <c r="AA163" s="709"/>
      <c r="AB163" s="709"/>
      <c r="AC163" s="699" t="s">
        <v>4236</v>
      </c>
      <c r="AD163" s="940"/>
      <c r="AE163" s="940"/>
      <c r="AF163" s="940">
        <f t="shared" si="6"/>
        <v>0</v>
      </c>
      <c r="AG163" s="943"/>
    </row>
    <row r="164" spans="1:33">
      <c r="A164" s="701">
        <v>161</v>
      </c>
      <c r="B164" s="700" t="s">
        <v>4307</v>
      </c>
      <c r="C164" s="709"/>
      <c r="D164" s="727">
        <f t="shared" si="5"/>
        <v>0</v>
      </c>
      <c r="E164" s="704" t="s">
        <v>286</v>
      </c>
      <c r="F164" s="709"/>
      <c r="G164" s="709"/>
      <c r="H164" s="709"/>
      <c r="I164" s="709"/>
      <c r="J164" s="709"/>
      <c r="K164" s="701"/>
      <c r="L164" s="709"/>
      <c r="M164" s="709"/>
      <c r="N164" s="709"/>
      <c r="O164" s="709"/>
      <c r="P164" s="709"/>
      <c r="Q164" s="709"/>
      <c r="R164" s="709"/>
      <c r="S164" s="709"/>
      <c r="T164" s="709"/>
      <c r="U164" s="709"/>
      <c r="V164" s="709"/>
      <c r="W164" s="728"/>
      <c r="X164" s="727"/>
      <c r="Y164" s="709"/>
      <c r="Z164" s="709"/>
      <c r="AA164" s="709"/>
      <c r="AB164" s="709"/>
      <c r="AC164" s="699" t="s">
        <v>4236</v>
      </c>
      <c r="AD164" s="940"/>
      <c r="AE164" s="940"/>
      <c r="AF164" s="940">
        <f t="shared" si="6"/>
        <v>0</v>
      </c>
      <c r="AG164" s="943"/>
    </row>
    <row r="165" spans="1:33">
      <c r="AG165" s="39">
        <f>SUM(AG4:AG164)</f>
        <v>110986280</v>
      </c>
    </row>
  </sheetData>
  <autoFilter ref="A1:AG165" xr:uid="{00000000-0001-0000-0F00-000000000000}">
    <filterColumn colId="6" showButton="0"/>
    <filterColumn colId="7" showButton="0"/>
    <filterColumn colId="8" showButton="0"/>
    <filterColumn colId="11" showButton="0"/>
    <filterColumn colId="12" showButton="0"/>
    <filterColumn colId="14" showButton="0"/>
    <filterColumn colId="16" showButton="0"/>
    <filterColumn colId="17" showButton="0"/>
    <filterColumn colId="19" showButton="0"/>
  </autoFilter>
  <mergeCells count="24">
    <mergeCell ref="A3:AC3"/>
    <mergeCell ref="V1:V2"/>
    <mergeCell ref="W1:W2"/>
    <mergeCell ref="X1:X2"/>
    <mergeCell ref="Y1:Y2"/>
    <mergeCell ref="Z1:Z2"/>
    <mergeCell ref="AA1:AA2"/>
    <mergeCell ref="AB1:AB2"/>
    <mergeCell ref="G1:J1"/>
    <mergeCell ref="L1:N1"/>
    <mergeCell ref="O1:P1"/>
    <mergeCell ref="Q1:S1"/>
    <mergeCell ref="T1:U1"/>
    <mergeCell ref="A1:A2"/>
    <mergeCell ref="B1:B2"/>
    <mergeCell ref="AE1:AE2"/>
    <mergeCell ref="AF1:AF2"/>
    <mergeCell ref="AG1:AG2"/>
    <mergeCell ref="C1:C2"/>
    <mergeCell ref="D1:D2"/>
    <mergeCell ref="E1:E2"/>
    <mergeCell ref="F1:F2"/>
    <mergeCell ref="AD1:AD2"/>
    <mergeCell ref="AC1:AC2"/>
  </mergeCells>
  <pageMargins left="0.7" right="0.7" top="0.75" bottom="0.75" header="0.3" footer="0.3"/>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455"/>
  <sheetViews>
    <sheetView topLeftCell="A19" workbookViewId="0">
      <selection activeCell="K32" sqref="K32"/>
    </sheetView>
  </sheetViews>
  <sheetFormatPr defaultRowHeight="15"/>
  <cols>
    <col min="1" max="1" width="5.140625" style="87" bestFit="1" customWidth="1"/>
    <col min="2" max="2" width="42.42578125" bestFit="1" customWidth="1"/>
    <col min="3" max="4" width="12.85546875" bestFit="1" customWidth="1"/>
    <col min="5" max="5" width="16.5703125" bestFit="1" customWidth="1"/>
    <col min="6" max="6" width="26.28515625" style="39" customWidth="1"/>
  </cols>
  <sheetData>
    <row r="1" spans="1:7">
      <c r="A1" s="1242" t="s">
        <v>4225</v>
      </c>
      <c r="B1" s="1253" t="s">
        <v>272</v>
      </c>
      <c r="C1" s="1253" t="s">
        <v>1865</v>
      </c>
      <c r="D1" s="1253" t="s">
        <v>1865</v>
      </c>
      <c r="E1" s="1253" t="s">
        <v>2881</v>
      </c>
      <c r="F1" s="1256" t="s">
        <v>2882</v>
      </c>
      <c r="G1" s="174"/>
    </row>
    <row r="2" spans="1:7" ht="22.5" customHeight="1">
      <c r="A2" s="1242"/>
      <c r="B2" s="1253"/>
      <c r="C2" s="1253"/>
      <c r="D2" s="1253"/>
      <c r="E2" s="1253"/>
      <c r="F2" s="1256"/>
      <c r="G2" s="174"/>
    </row>
    <row r="3" spans="1:7">
      <c r="A3" s="657"/>
      <c r="B3" s="1240" t="s">
        <v>3065</v>
      </c>
      <c r="C3" s="1182"/>
      <c r="D3" s="1182"/>
      <c r="E3" s="1182"/>
      <c r="F3" s="1241"/>
    </row>
    <row r="4" spans="1:7" ht="15.75">
      <c r="A4" s="136">
        <v>1</v>
      </c>
      <c r="B4" s="523" t="s">
        <v>3066</v>
      </c>
      <c r="C4" s="523" t="s">
        <v>286</v>
      </c>
      <c r="D4" s="523">
        <v>5000</v>
      </c>
      <c r="E4" s="523">
        <v>500</v>
      </c>
      <c r="F4" s="556">
        <v>2500000</v>
      </c>
    </row>
    <row r="5" spans="1:7" ht="15.75">
      <c r="A5" s="136">
        <v>2</v>
      </c>
      <c r="B5" s="524" t="s">
        <v>3067</v>
      </c>
      <c r="C5" s="524" t="s">
        <v>286</v>
      </c>
      <c r="D5" s="524">
        <v>2</v>
      </c>
      <c r="E5" s="533">
        <v>100000</v>
      </c>
      <c r="F5" s="555">
        <v>200000</v>
      </c>
    </row>
    <row r="6" spans="1:7" ht="15.75">
      <c r="A6" s="136">
        <v>3</v>
      </c>
      <c r="B6" s="523" t="s">
        <v>3068</v>
      </c>
      <c r="C6" s="523" t="s">
        <v>286</v>
      </c>
      <c r="D6" s="523">
        <v>4</v>
      </c>
      <c r="E6" s="534">
        <v>100000</v>
      </c>
      <c r="F6" s="556">
        <v>400000</v>
      </c>
    </row>
    <row r="7" spans="1:7" ht="15.75">
      <c r="A7" s="136">
        <v>4</v>
      </c>
      <c r="B7" s="524" t="s">
        <v>3069</v>
      </c>
      <c r="C7" s="524" t="s">
        <v>286</v>
      </c>
      <c r="D7" s="524">
        <v>2</v>
      </c>
      <c r="E7" s="533">
        <v>100000</v>
      </c>
      <c r="F7" s="555">
        <v>200000</v>
      </c>
    </row>
    <row r="8" spans="1:7" ht="47.25">
      <c r="A8" s="136">
        <v>5</v>
      </c>
      <c r="B8" s="523" t="s">
        <v>3070</v>
      </c>
      <c r="C8" s="523" t="s">
        <v>286</v>
      </c>
      <c r="D8" s="523">
        <v>20</v>
      </c>
      <c r="E8" s="534">
        <v>60000</v>
      </c>
      <c r="F8" s="556">
        <v>1200000</v>
      </c>
    </row>
    <row r="9" spans="1:7" ht="15.75">
      <c r="A9" s="136">
        <v>6</v>
      </c>
      <c r="B9" s="524" t="s">
        <v>3071</v>
      </c>
      <c r="C9" s="524" t="s">
        <v>286</v>
      </c>
      <c r="D9" s="524">
        <v>20</v>
      </c>
      <c r="E9" s="533">
        <v>60000</v>
      </c>
      <c r="F9" s="555">
        <v>1200000</v>
      </c>
    </row>
    <row r="10" spans="1:7" ht="15.75">
      <c r="A10" s="136">
        <v>7</v>
      </c>
      <c r="B10" s="523" t="s">
        <v>3072</v>
      </c>
      <c r="C10" s="523" t="s">
        <v>286</v>
      </c>
      <c r="D10" s="523">
        <v>15</v>
      </c>
      <c r="E10" s="534">
        <v>60000</v>
      </c>
      <c r="F10" s="556">
        <v>900000</v>
      </c>
    </row>
    <row r="11" spans="1:7" ht="15.75">
      <c r="A11" s="136">
        <v>8</v>
      </c>
      <c r="B11" s="524" t="s">
        <v>3073</v>
      </c>
      <c r="C11" s="524" t="s">
        <v>286</v>
      </c>
      <c r="D11" s="524">
        <v>5</v>
      </c>
      <c r="E11" s="533">
        <v>60000</v>
      </c>
      <c r="F11" s="555">
        <v>300000</v>
      </c>
    </row>
    <row r="12" spans="1:7" ht="31.5">
      <c r="A12" s="136">
        <v>9</v>
      </c>
      <c r="B12" s="523" t="s">
        <v>3074</v>
      </c>
      <c r="C12" s="523" t="s">
        <v>286</v>
      </c>
      <c r="D12" s="523">
        <v>2</v>
      </c>
      <c r="E12" s="534">
        <v>50000</v>
      </c>
      <c r="F12" s="556">
        <v>100000</v>
      </c>
    </row>
    <row r="13" spans="1:7" ht="31.5">
      <c r="A13" s="136">
        <v>10</v>
      </c>
      <c r="B13" s="524" t="s">
        <v>3075</v>
      </c>
      <c r="C13" s="524" t="s">
        <v>286</v>
      </c>
      <c r="D13" s="524">
        <v>15</v>
      </c>
      <c r="E13" s="533">
        <v>50000</v>
      </c>
      <c r="F13" s="555">
        <v>750000</v>
      </c>
    </row>
    <row r="14" spans="1:7" ht="31.5">
      <c r="A14" s="136">
        <v>11</v>
      </c>
      <c r="B14" s="523" t="s">
        <v>3076</v>
      </c>
      <c r="C14" s="523" t="s">
        <v>286</v>
      </c>
      <c r="D14" s="523">
        <v>15</v>
      </c>
      <c r="E14" s="534">
        <v>50000</v>
      </c>
      <c r="F14" s="556">
        <v>750000</v>
      </c>
    </row>
    <row r="15" spans="1:7" ht="47.25">
      <c r="A15" s="136">
        <v>12</v>
      </c>
      <c r="B15" s="524" t="s">
        <v>3077</v>
      </c>
      <c r="C15" s="524" t="s">
        <v>286</v>
      </c>
      <c r="D15" s="524">
        <v>10</v>
      </c>
      <c r="E15" s="533">
        <v>50000</v>
      </c>
      <c r="F15" s="555">
        <v>500000</v>
      </c>
    </row>
    <row r="16" spans="1:7" ht="15.75">
      <c r="A16" s="136">
        <v>13</v>
      </c>
      <c r="B16" s="523" t="s">
        <v>3078</v>
      </c>
      <c r="C16" s="523" t="s">
        <v>286</v>
      </c>
      <c r="D16" s="523">
        <v>10</v>
      </c>
      <c r="E16" s="534">
        <v>50000</v>
      </c>
      <c r="F16" s="556">
        <v>500000</v>
      </c>
    </row>
    <row r="17" spans="1:6" ht="31.5">
      <c r="A17" s="136">
        <v>14</v>
      </c>
      <c r="B17" s="524" t="s">
        <v>3079</v>
      </c>
      <c r="C17" s="524" t="s">
        <v>286</v>
      </c>
      <c r="D17" s="524">
        <v>3000</v>
      </c>
      <c r="E17" s="533">
        <v>500</v>
      </c>
      <c r="F17" s="555">
        <v>1500000</v>
      </c>
    </row>
    <row r="18" spans="1:6" ht="15.75">
      <c r="A18" s="136">
        <v>15</v>
      </c>
      <c r="B18" s="523" t="s">
        <v>3080</v>
      </c>
      <c r="C18" s="523" t="s">
        <v>286</v>
      </c>
      <c r="D18" s="523">
        <v>100</v>
      </c>
      <c r="E18" s="534">
        <v>3000</v>
      </c>
      <c r="F18" s="556">
        <v>300000</v>
      </c>
    </row>
    <row r="19" spans="1:6" ht="15.75">
      <c r="A19" s="136">
        <v>16</v>
      </c>
      <c r="B19" s="524" t="s">
        <v>3081</v>
      </c>
      <c r="C19" s="524" t="s">
        <v>693</v>
      </c>
      <c r="D19" s="524">
        <v>60</v>
      </c>
      <c r="E19" s="533">
        <v>55000</v>
      </c>
      <c r="F19" s="555">
        <v>3300000</v>
      </c>
    </row>
    <row r="20" spans="1:6" ht="15.75">
      <c r="A20" s="136">
        <v>17</v>
      </c>
      <c r="B20" s="535" t="s">
        <v>3082</v>
      </c>
      <c r="C20" s="523" t="s">
        <v>286</v>
      </c>
      <c r="D20" s="523">
        <v>100</v>
      </c>
      <c r="E20" s="534">
        <v>3000</v>
      </c>
      <c r="F20" s="556">
        <v>300000</v>
      </c>
    </row>
    <row r="21" spans="1:6" ht="15.75">
      <c r="A21" s="136">
        <v>18</v>
      </c>
      <c r="B21" s="536" t="s">
        <v>3083</v>
      </c>
      <c r="C21" s="524" t="s">
        <v>286</v>
      </c>
      <c r="D21" s="524">
        <v>100</v>
      </c>
      <c r="E21" s="533">
        <v>3000</v>
      </c>
      <c r="F21" s="555">
        <v>300000</v>
      </c>
    </row>
    <row r="22" spans="1:6" ht="15.75">
      <c r="A22" s="136">
        <v>19</v>
      </c>
      <c r="B22" s="523" t="s">
        <v>3084</v>
      </c>
      <c r="C22" s="523" t="s">
        <v>286</v>
      </c>
      <c r="D22" s="523">
        <v>100</v>
      </c>
      <c r="E22" s="534">
        <v>3000</v>
      </c>
      <c r="F22" s="556">
        <v>300000</v>
      </c>
    </row>
    <row r="23" spans="1:6" ht="31.5">
      <c r="A23" s="136">
        <v>20</v>
      </c>
      <c r="B23" s="536" t="s">
        <v>3085</v>
      </c>
      <c r="C23" s="524" t="s">
        <v>286</v>
      </c>
      <c r="D23" s="524">
        <v>4</v>
      </c>
      <c r="E23" s="533">
        <v>20000</v>
      </c>
      <c r="F23" s="555">
        <v>80000</v>
      </c>
    </row>
    <row r="24" spans="1:6" ht="15.75">
      <c r="A24" s="136">
        <v>21</v>
      </c>
      <c r="B24" s="535" t="s">
        <v>3086</v>
      </c>
      <c r="C24" s="523" t="s">
        <v>286</v>
      </c>
      <c r="D24" s="523">
        <v>2</v>
      </c>
      <c r="E24" s="534">
        <v>25000</v>
      </c>
      <c r="F24" s="556">
        <v>50000</v>
      </c>
    </row>
    <row r="25" spans="1:6" ht="31.5">
      <c r="A25" s="136">
        <v>22</v>
      </c>
      <c r="B25" s="536" t="s">
        <v>3087</v>
      </c>
      <c r="C25" s="524" t="s">
        <v>286</v>
      </c>
      <c r="D25" s="524">
        <v>5</v>
      </c>
      <c r="E25" s="533">
        <v>15000</v>
      </c>
      <c r="F25" s="555">
        <v>75000</v>
      </c>
    </row>
    <row r="26" spans="1:6" ht="31.5">
      <c r="A26" s="136">
        <v>23</v>
      </c>
      <c r="B26" s="535" t="s">
        <v>3088</v>
      </c>
      <c r="C26" s="523" t="s">
        <v>286</v>
      </c>
      <c r="D26" s="523">
        <v>100</v>
      </c>
      <c r="E26" s="534">
        <v>2000</v>
      </c>
      <c r="F26" s="556">
        <v>200000</v>
      </c>
    </row>
    <row r="27" spans="1:6" ht="15.75">
      <c r="A27" s="136">
        <v>24</v>
      </c>
      <c r="B27" s="536" t="s">
        <v>3089</v>
      </c>
      <c r="C27" s="524" t="s">
        <v>286</v>
      </c>
      <c r="D27" s="524">
        <v>100</v>
      </c>
      <c r="E27" s="533">
        <v>6000</v>
      </c>
      <c r="F27" s="555">
        <v>600000</v>
      </c>
    </row>
    <row r="28" spans="1:6" ht="15.75">
      <c r="A28" s="136">
        <v>25</v>
      </c>
      <c r="B28" s="535" t="s">
        <v>3090</v>
      </c>
      <c r="C28" s="523" t="s">
        <v>286</v>
      </c>
      <c r="D28" s="523">
        <v>10</v>
      </c>
      <c r="E28" s="534">
        <v>10000</v>
      </c>
      <c r="F28" s="556">
        <v>100000</v>
      </c>
    </row>
    <row r="29" spans="1:6" ht="15.75">
      <c r="A29" s="136">
        <v>26</v>
      </c>
      <c r="B29" s="536" t="s">
        <v>3091</v>
      </c>
      <c r="C29" s="524" t="s">
        <v>286</v>
      </c>
      <c r="D29" s="524">
        <v>100</v>
      </c>
      <c r="E29" s="533">
        <v>3000</v>
      </c>
      <c r="F29" s="555">
        <v>300000</v>
      </c>
    </row>
    <row r="30" spans="1:6" ht="15.75">
      <c r="A30" s="136">
        <v>27</v>
      </c>
      <c r="B30" s="535" t="s">
        <v>3092</v>
      </c>
      <c r="C30" s="523" t="s">
        <v>693</v>
      </c>
      <c r="D30" s="523">
        <v>10</v>
      </c>
      <c r="E30" s="534">
        <v>5000</v>
      </c>
      <c r="F30" s="556">
        <v>50000</v>
      </c>
    </row>
    <row r="31" spans="1:6" ht="15.75">
      <c r="A31" s="136">
        <v>28</v>
      </c>
      <c r="B31" s="536" t="s">
        <v>654</v>
      </c>
      <c r="C31" s="524" t="s">
        <v>286</v>
      </c>
      <c r="D31" s="524">
        <v>6</v>
      </c>
      <c r="E31" s="533">
        <v>15000</v>
      </c>
      <c r="F31" s="555">
        <v>90000</v>
      </c>
    </row>
    <row r="32" spans="1:6" ht="15.75">
      <c r="A32" s="136">
        <v>29</v>
      </c>
      <c r="B32" s="535" t="s">
        <v>3093</v>
      </c>
      <c r="C32" s="523" t="s">
        <v>286</v>
      </c>
      <c r="D32" s="523">
        <v>10</v>
      </c>
      <c r="E32" s="534">
        <v>20000</v>
      </c>
      <c r="F32" s="556">
        <v>200000</v>
      </c>
    </row>
    <row r="33" spans="1:6" ht="15.75">
      <c r="A33" s="136">
        <v>30</v>
      </c>
      <c r="B33" s="536" t="s">
        <v>3094</v>
      </c>
      <c r="C33" s="524" t="s">
        <v>286</v>
      </c>
      <c r="D33" s="524">
        <v>30</v>
      </c>
      <c r="E33" s="533">
        <v>5000</v>
      </c>
      <c r="F33" s="555">
        <v>150000</v>
      </c>
    </row>
    <row r="34" spans="1:6" ht="15.75">
      <c r="A34" s="136">
        <v>31</v>
      </c>
      <c r="B34" s="523" t="s">
        <v>3095</v>
      </c>
      <c r="C34" s="523" t="s">
        <v>286</v>
      </c>
      <c r="D34" s="523">
        <v>15</v>
      </c>
      <c r="E34" s="534">
        <v>15000</v>
      </c>
      <c r="F34" s="556">
        <v>225000</v>
      </c>
    </row>
    <row r="35" spans="1:6" ht="15.75">
      <c r="A35" s="136">
        <v>32</v>
      </c>
      <c r="B35" s="536" t="s">
        <v>3096</v>
      </c>
      <c r="C35" s="524" t="s">
        <v>286</v>
      </c>
      <c r="D35" s="524">
        <v>150</v>
      </c>
      <c r="E35" s="533">
        <v>3000</v>
      </c>
      <c r="F35" s="555">
        <v>450000</v>
      </c>
    </row>
    <row r="36" spans="1:6" ht="15.75">
      <c r="A36" s="136">
        <v>33</v>
      </c>
      <c r="B36" s="523" t="s">
        <v>3097</v>
      </c>
      <c r="C36" s="523" t="s">
        <v>286</v>
      </c>
      <c r="D36" s="523">
        <v>50</v>
      </c>
      <c r="E36" s="534">
        <v>4000</v>
      </c>
      <c r="F36" s="556">
        <v>200000</v>
      </c>
    </row>
    <row r="37" spans="1:6" ht="15.75">
      <c r="A37" s="136">
        <v>34</v>
      </c>
      <c r="B37" s="524" t="s">
        <v>3098</v>
      </c>
      <c r="C37" s="524" t="s">
        <v>286</v>
      </c>
      <c r="D37" s="524">
        <v>100</v>
      </c>
      <c r="E37" s="533">
        <v>5000</v>
      </c>
      <c r="F37" s="555">
        <v>500000</v>
      </c>
    </row>
    <row r="38" spans="1:6" ht="15.75">
      <c r="A38" s="136">
        <v>35</v>
      </c>
      <c r="B38" s="523" t="s">
        <v>3099</v>
      </c>
      <c r="C38" s="523" t="s">
        <v>693</v>
      </c>
      <c r="D38" s="523">
        <v>10</v>
      </c>
      <c r="E38" s="534">
        <v>5000</v>
      </c>
      <c r="F38" s="556">
        <v>50000</v>
      </c>
    </row>
    <row r="39" spans="1:6" ht="15.75">
      <c r="A39" s="136">
        <v>36</v>
      </c>
      <c r="B39" s="524" t="s">
        <v>3100</v>
      </c>
      <c r="C39" s="524" t="s">
        <v>286</v>
      </c>
      <c r="D39" s="524">
        <v>40</v>
      </c>
      <c r="E39" s="533">
        <v>20000</v>
      </c>
      <c r="F39" s="555">
        <v>800000</v>
      </c>
    </row>
    <row r="40" spans="1:6" ht="15.75">
      <c r="A40" s="136">
        <v>37</v>
      </c>
      <c r="B40" s="523" t="s">
        <v>3101</v>
      </c>
      <c r="C40" s="523" t="s">
        <v>27</v>
      </c>
      <c r="D40" s="537">
        <v>50</v>
      </c>
      <c r="E40" s="538">
        <v>58000</v>
      </c>
      <c r="F40" s="556">
        <v>2900000</v>
      </c>
    </row>
    <row r="41" spans="1:6" ht="15.75">
      <c r="A41" s="136">
        <v>38</v>
      </c>
      <c r="B41" s="524" t="s">
        <v>3102</v>
      </c>
      <c r="C41" s="524" t="s">
        <v>693</v>
      </c>
      <c r="D41" s="539">
        <v>50</v>
      </c>
      <c r="E41" s="540">
        <v>55000</v>
      </c>
      <c r="F41" s="555">
        <v>2750000</v>
      </c>
    </row>
    <row r="42" spans="1:6" ht="15.75">
      <c r="A42" s="136">
        <v>39</v>
      </c>
      <c r="B42" s="523" t="s">
        <v>3103</v>
      </c>
      <c r="C42" s="523" t="s">
        <v>286</v>
      </c>
      <c r="D42" s="537">
        <v>250</v>
      </c>
      <c r="E42" s="538">
        <v>6500</v>
      </c>
      <c r="F42" s="556">
        <v>1625000</v>
      </c>
    </row>
    <row r="43" spans="1:6" ht="15.75">
      <c r="A43" s="136">
        <v>40</v>
      </c>
      <c r="B43" s="524" t="s">
        <v>3104</v>
      </c>
      <c r="C43" s="524" t="s">
        <v>286</v>
      </c>
      <c r="D43" s="539">
        <v>250</v>
      </c>
      <c r="E43" s="540">
        <v>6500</v>
      </c>
      <c r="F43" s="555">
        <v>1625000</v>
      </c>
    </row>
    <row r="44" spans="1:6" ht="15.75">
      <c r="A44" s="136">
        <v>41</v>
      </c>
      <c r="B44" s="523" t="s">
        <v>3105</v>
      </c>
      <c r="C44" s="523" t="s">
        <v>286</v>
      </c>
      <c r="D44" s="537">
        <v>50</v>
      </c>
      <c r="E44" s="538">
        <v>12000</v>
      </c>
      <c r="F44" s="556">
        <v>600000</v>
      </c>
    </row>
    <row r="45" spans="1:6" ht="15.75">
      <c r="A45" s="136">
        <v>42</v>
      </c>
      <c r="B45" s="524" t="s">
        <v>3106</v>
      </c>
      <c r="C45" s="524" t="s">
        <v>127</v>
      </c>
      <c r="D45" s="539">
        <v>4</v>
      </c>
      <c r="E45" s="540">
        <v>65000</v>
      </c>
      <c r="F45" s="555">
        <v>260000</v>
      </c>
    </row>
    <row r="46" spans="1:6" ht="15.75">
      <c r="A46" s="136">
        <v>43</v>
      </c>
      <c r="B46" s="523" t="s">
        <v>3107</v>
      </c>
      <c r="C46" s="523" t="s">
        <v>286</v>
      </c>
      <c r="D46" s="537">
        <v>5</v>
      </c>
      <c r="E46" s="538">
        <v>25000</v>
      </c>
      <c r="F46" s="556">
        <v>125000</v>
      </c>
    </row>
    <row r="47" spans="1:6" ht="15.75">
      <c r="A47" s="136">
        <v>44</v>
      </c>
      <c r="B47" s="524" t="s">
        <v>3108</v>
      </c>
      <c r="C47" s="524" t="s">
        <v>286</v>
      </c>
      <c r="D47" s="539">
        <v>5</v>
      </c>
      <c r="E47" s="540">
        <v>45000</v>
      </c>
      <c r="F47" s="555">
        <v>225000</v>
      </c>
    </row>
    <row r="48" spans="1:6" ht="15.75">
      <c r="A48" s="136">
        <v>45</v>
      </c>
      <c r="B48" s="523" t="s">
        <v>3109</v>
      </c>
      <c r="C48" s="523" t="s">
        <v>286</v>
      </c>
      <c r="D48" s="537">
        <v>150</v>
      </c>
      <c r="E48" s="538">
        <v>3500</v>
      </c>
      <c r="F48" s="556">
        <v>525000</v>
      </c>
    </row>
    <row r="49" spans="1:6" ht="15.75">
      <c r="A49" s="136">
        <v>46</v>
      </c>
      <c r="B49" s="524" t="s">
        <v>3110</v>
      </c>
      <c r="C49" s="524" t="s">
        <v>286</v>
      </c>
      <c r="D49" s="539">
        <v>150</v>
      </c>
      <c r="E49" s="540">
        <v>3500</v>
      </c>
      <c r="F49" s="555">
        <v>525000</v>
      </c>
    </row>
    <row r="50" spans="1:6" ht="15.75">
      <c r="A50" s="136">
        <v>47</v>
      </c>
      <c r="B50" s="523" t="s">
        <v>3111</v>
      </c>
      <c r="C50" s="523" t="s">
        <v>286</v>
      </c>
      <c r="D50" s="537">
        <v>50</v>
      </c>
      <c r="E50" s="538">
        <v>22000</v>
      </c>
      <c r="F50" s="556">
        <v>1100000</v>
      </c>
    </row>
    <row r="51" spans="1:6" ht="15.75">
      <c r="A51" s="136">
        <v>48</v>
      </c>
      <c r="B51" s="524" t="s">
        <v>3112</v>
      </c>
      <c r="C51" s="524" t="s">
        <v>286</v>
      </c>
      <c r="D51" s="539">
        <v>700</v>
      </c>
      <c r="E51" s="540">
        <v>3000</v>
      </c>
      <c r="F51" s="555">
        <v>2100000</v>
      </c>
    </row>
    <row r="52" spans="1:6" ht="15.75">
      <c r="A52" s="136">
        <v>49</v>
      </c>
      <c r="B52" s="523" t="s">
        <v>3113</v>
      </c>
      <c r="C52" s="523" t="s">
        <v>286</v>
      </c>
      <c r="D52" s="537">
        <v>5</v>
      </c>
      <c r="E52" s="538">
        <v>43000</v>
      </c>
      <c r="F52" s="556">
        <v>215000</v>
      </c>
    </row>
    <row r="53" spans="1:6" ht="15.75">
      <c r="A53" s="136">
        <v>50</v>
      </c>
      <c r="B53" s="524" t="s">
        <v>3114</v>
      </c>
      <c r="C53" s="524" t="s">
        <v>286</v>
      </c>
      <c r="D53" s="539">
        <v>100</v>
      </c>
      <c r="E53" s="540">
        <v>600</v>
      </c>
      <c r="F53" s="555">
        <v>60000</v>
      </c>
    </row>
    <row r="54" spans="1:6" ht="31.5">
      <c r="A54" s="136">
        <v>51</v>
      </c>
      <c r="B54" s="523" t="s">
        <v>3115</v>
      </c>
      <c r="C54" s="523" t="s">
        <v>278</v>
      </c>
      <c r="D54" s="537">
        <v>15</v>
      </c>
      <c r="E54" s="538">
        <v>8000</v>
      </c>
      <c r="F54" s="556">
        <v>120000</v>
      </c>
    </row>
    <row r="55" spans="1:6" ht="15.75">
      <c r="A55" s="136">
        <v>52</v>
      </c>
      <c r="B55" s="524" t="s">
        <v>3116</v>
      </c>
      <c r="C55" s="524" t="s">
        <v>286</v>
      </c>
      <c r="D55" s="539">
        <v>100</v>
      </c>
      <c r="E55" s="540">
        <v>1100</v>
      </c>
      <c r="F55" s="555">
        <v>110000</v>
      </c>
    </row>
    <row r="56" spans="1:6" ht="15.75">
      <c r="A56" s="136">
        <v>53</v>
      </c>
      <c r="B56" s="523" t="s">
        <v>3117</v>
      </c>
      <c r="C56" s="523" t="s">
        <v>3281</v>
      </c>
      <c r="D56" s="537">
        <v>20</v>
      </c>
      <c r="E56" s="538">
        <v>12000</v>
      </c>
      <c r="F56" s="556">
        <v>240000</v>
      </c>
    </row>
    <row r="57" spans="1:6" ht="15.75">
      <c r="A57" s="136">
        <v>54</v>
      </c>
      <c r="B57" s="524" t="s">
        <v>3118</v>
      </c>
      <c r="C57" s="524" t="s">
        <v>3281</v>
      </c>
      <c r="D57" s="539">
        <v>20</v>
      </c>
      <c r="E57" s="540">
        <v>6000</v>
      </c>
      <c r="F57" s="555">
        <v>120000</v>
      </c>
    </row>
    <row r="58" spans="1:6" ht="15.75">
      <c r="A58" s="136">
        <v>55</v>
      </c>
      <c r="B58" s="523" t="s">
        <v>3119</v>
      </c>
      <c r="C58" s="523" t="s">
        <v>693</v>
      </c>
      <c r="D58" s="537">
        <v>20</v>
      </c>
      <c r="E58" s="538">
        <v>5000</v>
      </c>
      <c r="F58" s="556">
        <v>100000</v>
      </c>
    </row>
    <row r="59" spans="1:6" ht="15.75">
      <c r="A59" s="136">
        <v>56</v>
      </c>
      <c r="B59" s="524" t="s">
        <v>3120</v>
      </c>
      <c r="C59" s="524" t="s">
        <v>693</v>
      </c>
      <c r="D59" s="539">
        <v>20</v>
      </c>
      <c r="E59" s="540">
        <v>5500</v>
      </c>
      <c r="F59" s="555">
        <v>110000</v>
      </c>
    </row>
    <row r="60" spans="1:6" ht="15.75">
      <c r="A60" s="136">
        <v>57</v>
      </c>
      <c r="B60" s="523" t="s">
        <v>3121</v>
      </c>
      <c r="C60" s="523" t="s">
        <v>286</v>
      </c>
      <c r="D60" s="537">
        <v>250</v>
      </c>
      <c r="E60" s="538">
        <v>3500</v>
      </c>
      <c r="F60" s="556">
        <v>875000</v>
      </c>
    </row>
    <row r="61" spans="1:6" ht="15.75">
      <c r="A61" s="136">
        <v>58</v>
      </c>
      <c r="B61" s="524"/>
      <c r="C61" s="524"/>
      <c r="D61" s="539"/>
      <c r="E61" s="540"/>
      <c r="F61" s="555">
        <v>0</v>
      </c>
    </row>
    <row r="62" spans="1:6" ht="31.5">
      <c r="A62" s="136">
        <v>59</v>
      </c>
      <c r="B62" s="523" t="s">
        <v>3122</v>
      </c>
      <c r="C62" s="523" t="s">
        <v>286</v>
      </c>
      <c r="D62" s="537">
        <v>250</v>
      </c>
      <c r="E62" s="538">
        <v>3500</v>
      </c>
      <c r="F62" s="556">
        <v>875000</v>
      </c>
    </row>
    <row r="63" spans="1:6" ht="15.75">
      <c r="A63" s="136">
        <v>60</v>
      </c>
      <c r="B63" s="524" t="s">
        <v>3123</v>
      </c>
      <c r="C63" s="524" t="s">
        <v>286</v>
      </c>
      <c r="D63" s="539">
        <v>100</v>
      </c>
      <c r="E63" s="540">
        <v>4000</v>
      </c>
      <c r="F63" s="555">
        <v>400000</v>
      </c>
    </row>
    <row r="64" spans="1:6" ht="15.75">
      <c r="A64" s="136">
        <v>61</v>
      </c>
      <c r="B64" s="523" t="s">
        <v>3124</v>
      </c>
      <c r="C64" s="523" t="s">
        <v>286</v>
      </c>
      <c r="D64" s="537">
        <v>200</v>
      </c>
      <c r="E64" s="538">
        <v>1000</v>
      </c>
      <c r="F64" s="556">
        <v>200000</v>
      </c>
    </row>
    <row r="65" spans="1:6" ht="31.5">
      <c r="A65" s="136">
        <v>62</v>
      </c>
      <c r="B65" s="524" t="s">
        <v>3125</v>
      </c>
      <c r="C65" s="524" t="s">
        <v>286</v>
      </c>
      <c r="D65" s="539">
        <v>4</v>
      </c>
      <c r="E65" s="540">
        <v>110000</v>
      </c>
      <c r="F65" s="555">
        <v>440000</v>
      </c>
    </row>
    <row r="66" spans="1:6" ht="15.75">
      <c r="A66" s="136">
        <v>63</v>
      </c>
      <c r="B66" s="523" t="s">
        <v>3126</v>
      </c>
      <c r="C66" s="523" t="s">
        <v>286</v>
      </c>
      <c r="D66" s="537">
        <v>20</v>
      </c>
      <c r="E66" s="541">
        <v>85000</v>
      </c>
      <c r="F66" s="556">
        <v>1700000</v>
      </c>
    </row>
    <row r="67" spans="1:6" ht="15.75">
      <c r="A67" s="136">
        <v>64</v>
      </c>
      <c r="B67" s="524"/>
      <c r="C67" s="524"/>
      <c r="D67" s="539"/>
      <c r="E67" s="542"/>
      <c r="F67" s="555">
        <v>0</v>
      </c>
    </row>
    <row r="68" spans="1:6" ht="31.5">
      <c r="A68" s="136">
        <v>65</v>
      </c>
      <c r="B68" s="523" t="s">
        <v>3127</v>
      </c>
      <c r="C68" s="523" t="s">
        <v>286</v>
      </c>
      <c r="D68" s="537">
        <v>10</v>
      </c>
      <c r="E68" s="541">
        <v>35000</v>
      </c>
      <c r="F68" s="556">
        <v>350000</v>
      </c>
    </row>
    <row r="69" spans="1:6" ht="15.75">
      <c r="A69" s="136">
        <v>66</v>
      </c>
      <c r="B69" s="524" t="s">
        <v>3128</v>
      </c>
      <c r="C69" s="524" t="s">
        <v>286</v>
      </c>
      <c r="D69" s="539">
        <v>17</v>
      </c>
      <c r="E69" s="542">
        <v>45000</v>
      </c>
      <c r="F69" s="555">
        <v>765000</v>
      </c>
    </row>
    <row r="70" spans="1:6" ht="31.5">
      <c r="A70" s="136">
        <v>67</v>
      </c>
      <c r="B70" s="523" t="s">
        <v>3129</v>
      </c>
      <c r="C70" s="523" t="s">
        <v>286</v>
      </c>
      <c r="D70" s="537">
        <v>10</v>
      </c>
      <c r="E70" s="541">
        <v>45000</v>
      </c>
      <c r="F70" s="556">
        <v>450000</v>
      </c>
    </row>
    <row r="71" spans="1:6" ht="15.75">
      <c r="A71" s="136">
        <v>68</v>
      </c>
      <c r="B71" s="524" t="s">
        <v>3130</v>
      </c>
      <c r="C71" s="524" t="s">
        <v>693</v>
      </c>
      <c r="D71" s="524">
        <v>40</v>
      </c>
      <c r="E71" s="533">
        <v>55000</v>
      </c>
      <c r="F71" s="555">
        <v>2200000</v>
      </c>
    </row>
    <row r="72" spans="1:6" ht="31.5">
      <c r="A72" s="136">
        <v>69</v>
      </c>
      <c r="B72" s="523" t="s">
        <v>3131</v>
      </c>
      <c r="C72" s="523" t="s">
        <v>127</v>
      </c>
      <c r="D72" s="523">
        <v>10</v>
      </c>
      <c r="E72" s="534">
        <v>530000</v>
      </c>
      <c r="F72" s="556">
        <v>5300000</v>
      </c>
    </row>
    <row r="73" spans="1:6" ht="15.75">
      <c r="A73" s="136">
        <v>70</v>
      </c>
      <c r="B73" s="524" t="s">
        <v>3132</v>
      </c>
      <c r="C73" s="524" t="s">
        <v>286</v>
      </c>
      <c r="D73" s="524">
        <v>100</v>
      </c>
      <c r="E73" s="533">
        <v>10000</v>
      </c>
      <c r="F73" s="555">
        <v>1000000</v>
      </c>
    </row>
    <row r="74" spans="1:6" ht="15.75">
      <c r="A74" s="136">
        <v>71</v>
      </c>
      <c r="B74" s="523" t="s">
        <v>3133</v>
      </c>
      <c r="C74" s="523" t="s">
        <v>286</v>
      </c>
      <c r="D74" s="523">
        <v>250</v>
      </c>
      <c r="E74" s="534">
        <v>5500</v>
      </c>
      <c r="F74" s="556">
        <v>1375000</v>
      </c>
    </row>
    <row r="75" spans="1:6" ht="15.75">
      <c r="A75" s="136">
        <v>72</v>
      </c>
      <c r="B75" s="524" t="s">
        <v>3134</v>
      </c>
      <c r="C75" s="524" t="s">
        <v>286</v>
      </c>
      <c r="D75" s="524">
        <v>250</v>
      </c>
      <c r="E75" s="533">
        <v>5500</v>
      </c>
      <c r="F75" s="555">
        <v>1375000</v>
      </c>
    </row>
    <row r="76" spans="1:6" ht="15.75">
      <c r="A76" s="136">
        <v>73</v>
      </c>
      <c r="B76" s="523" t="s">
        <v>3135</v>
      </c>
      <c r="C76" s="523" t="s">
        <v>286</v>
      </c>
      <c r="D76" s="523">
        <v>2</v>
      </c>
      <c r="E76" s="534">
        <v>55000</v>
      </c>
      <c r="F76" s="556">
        <v>110000</v>
      </c>
    </row>
    <row r="77" spans="1:6" ht="15.75">
      <c r="A77" s="136">
        <v>74</v>
      </c>
      <c r="B77" s="524" t="s">
        <v>3136</v>
      </c>
      <c r="C77" s="524" t="s">
        <v>286</v>
      </c>
      <c r="D77" s="524">
        <v>2</v>
      </c>
      <c r="E77" s="533">
        <v>85000</v>
      </c>
      <c r="F77" s="555">
        <v>170000</v>
      </c>
    </row>
    <row r="78" spans="1:6" ht="15.75">
      <c r="A78" s="136">
        <v>75</v>
      </c>
      <c r="B78" s="523" t="s">
        <v>3130</v>
      </c>
      <c r="C78" s="523" t="s">
        <v>693</v>
      </c>
      <c r="D78" s="523">
        <v>30</v>
      </c>
      <c r="E78" s="534">
        <v>55000</v>
      </c>
      <c r="F78" s="556">
        <v>1650000</v>
      </c>
    </row>
    <row r="79" spans="1:6" ht="15.75">
      <c r="A79" s="136">
        <v>76</v>
      </c>
      <c r="B79" s="524" t="s">
        <v>3137</v>
      </c>
      <c r="C79" s="524" t="s">
        <v>3282</v>
      </c>
      <c r="D79" s="524">
        <v>2</v>
      </c>
      <c r="E79" s="524">
        <v>106000</v>
      </c>
      <c r="F79" s="555">
        <v>212000</v>
      </c>
    </row>
    <row r="80" spans="1:6" ht="15.75">
      <c r="A80" s="136">
        <v>77</v>
      </c>
      <c r="B80" s="523" t="s">
        <v>627</v>
      </c>
      <c r="C80" s="523" t="s">
        <v>286</v>
      </c>
      <c r="D80" s="523">
        <v>150</v>
      </c>
      <c r="E80" s="523">
        <v>7406</v>
      </c>
      <c r="F80" s="556">
        <v>1110900</v>
      </c>
    </row>
    <row r="81" spans="1:6" ht="15.75">
      <c r="A81" s="136">
        <v>78</v>
      </c>
      <c r="B81" s="524" t="s">
        <v>3089</v>
      </c>
      <c r="C81" s="524" t="s">
        <v>692</v>
      </c>
      <c r="D81" s="524">
        <v>5</v>
      </c>
      <c r="E81" s="524">
        <v>66100</v>
      </c>
      <c r="F81" s="555">
        <v>330500</v>
      </c>
    </row>
    <row r="82" spans="1:6" ht="15.75">
      <c r="A82" s="136">
        <v>79</v>
      </c>
      <c r="B82" s="523" t="s">
        <v>3138</v>
      </c>
      <c r="C82" s="523" t="s">
        <v>286</v>
      </c>
      <c r="D82" s="523">
        <v>180</v>
      </c>
      <c r="E82" s="523">
        <v>3500</v>
      </c>
      <c r="F82" s="556">
        <v>630000</v>
      </c>
    </row>
    <row r="83" spans="1:6" ht="15.75">
      <c r="A83" s="136">
        <v>80</v>
      </c>
      <c r="B83" s="524" t="s">
        <v>3139</v>
      </c>
      <c r="C83" s="524" t="s">
        <v>286</v>
      </c>
      <c r="D83" s="524">
        <v>250</v>
      </c>
      <c r="E83" s="524">
        <v>6000</v>
      </c>
      <c r="F83" s="555">
        <v>1500000</v>
      </c>
    </row>
    <row r="84" spans="1:6" ht="15.75">
      <c r="A84" s="136">
        <v>81</v>
      </c>
      <c r="B84" s="523" t="s">
        <v>3140</v>
      </c>
      <c r="C84" s="523" t="s">
        <v>286</v>
      </c>
      <c r="D84" s="523">
        <v>130</v>
      </c>
      <c r="E84" s="523">
        <v>3800</v>
      </c>
      <c r="F84" s="556">
        <v>494000</v>
      </c>
    </row>
    <row r="85" spans="1:6" ht="15.75">
      <c r="A85" s="136">
        <v>82</v>
      </c>
      <c r="B85" s="524" t="s">
        <v>3141</v>
      </c>
      <c r="C85" s="524" t="s">
        <v>286</v>
      </c>
      <c r="D85" s="524">
        <v>20</v>
      </c>
      <c r="E85" s="524">
        <v>5500</v>
      </c>
      <c r="F85" s="555">
        <v>110000</v>
      </c>
    </row>
    <row r="86" spans="1:6" ht="15.75">
      <c r="A86" s="136">
        <v>83</v>
      </c>
      <c r="B86" s="523" t="s">
        <v>3142</v>
      </c>
      <c r="C86" s="523" t="s">
        <v>286</v>
      </c>
      <c r="D86" s="523">
        <v>20</v>
      </c>
      <c r="E86" s="523">
        <v>5500</v>
      </c>
      <c r="F86" s="556">
        <v>110000</v>
      </c>
    </row>
    <row r="87" spans="1:6" ht="15.75">
      <c r="A87" s="136">
        <v>84</v>
      </c>
      <c r="B87" s="524" t="s">
        <v>713</v>
      </c>
      <c r="C87" s="524" t="s">
        <v>286</v>
      </c>
      <c r="D87" s="524">
        <v>48</v>
      </c>
      <c r="E87" s="524">
        <v>25000</v>
      </c>
      <c r="F87" s="555">
        <v>1200000</v>
      </c>
    </row>
    <row r="88" spans="1:6" ht="15.75">
      <c r="A88" s="136">
        <v>85</v>
      </c>
      <c r="B88" s="523" t="s">
        <v>654</v>
      </c>
      <c r="C88" s="523" t="s">
        <v>286</v>
      </c>
      <c r="D88" s="523">
        <v>5</v>
      </c>
      <c r="E88" s="523">
        <v>33000</v>
      </c>
      <c r="F88" s="556">
        <v>165000</v>
      </c>
    </row>
    <row r="89" spans="1:6" ht="15.75">
      <c r="A89" s="136">
        <v>86</v>
      </c>
      <c r="B89" s="524" t="s">
        <v>3143</v>
      </c>
      <c r="C89" s="524" t="s">
        <v>286</v>
      </c>
      <c r="D89" s="524">
        <v>5</v>
      </c>
      <c r="E89" s="524">
        <v>35930</v>
      </c>
      <c r="F89" s="555">
        <v>179650</v>
      </c>
    </row>
    <row r="90" spans="1:6" ht="15.75">
      <c r="A90" s="136">
        <v>87</v>
      </c>
      <c r="B90" s="523" t="s">
        <v>3144</v>
      </c>
      <c r="C90" s="523" t="s">
        <v>286</v>
      </c>
      <c r="D90" s="523">
        <v>3</v>
      </c>
      <c r="E90" s="523">
        <v>146000</v>
      </c>
      <c r="F90" s="556">
        <v>438000</v>
      </c>
    </row>
    <row r="91" spans="1:6" ht="15.75">
      <c r="A91" s="136">
        <v>88</v>
      </c>
      <c r="B91" s="524" t="s">
        <v>3099</v>
      </c>
      <c r="C91" s="524" t="s">
        <v>286</v>
      </c>
      <c r="D91" s="524">
        <v>50</v>
      </c>
      <c r="E91" s="524">
        <v>5230</v>
      </c>
      <c r="F91" s="555">
        <v>261500</v>
      </c>
    </row>
    <row r="92" spans="1:6" ht="15.75">
      <c r="A92" s="136">
        <v>89</v>
      </c>
      <c r="B92" s="523" t="s">
        <v>3145</v>
      </c>
      <c r="C92" s="523" t="s">
        <v>286</v>
      </c>
      <c r="D92" s="523">
        <v>50</v>
      </c>
      <c r="E92" s="523">
        <v>18500</v>
      </c>
      <c r="F92" s="556">
        <v>925000</v>
      </c>
    </row>
    <row r="93" spans="1:6" ht="15.75">
      <c r="A93" s="136">
        <v>90</v>
      </c>
      <c r="B93" s="524" t="s">
        <v>3093</v>
      </c>
      <c r="C93" s="524" t="s">
        <v>286</v>
      </c>
      <c r="D93" s="524">
        <v>24</v>
      </c>
      <c r="E93" s="524">
        <v>27000</v>
      </c>
      <c r="F93" s="555">
        <v>648000</v>
      </c>
    </row>
    <row r="94" spans="1:6" ht="15.75">
      <c r="A94" s="136">
        <v>91</v>
      </c>
      <c r="B94" s="523" t="s">
        <v>3146</v>
      </c>
      <c r="C94" s="523" t="s">
        <v>286</v>
      </c>
      <c r="D94" s="523">
        <v>12</v>
      </c>
      <c r="E94" s="523">
        <v>143330</v>
      </c>
      <c r="F94" s="556">
        <v>1719960</v>
      </c>
    </row>
    <row r="95" spans="1:6" ht="15.75">
      <c r="A95" s="136">
        <v>92</v>
      </c>
      <c r="B95" s="524" t="s">
        <v>735</v>
      </c>
      <c r="C95" s="524" t="s">
        <v>3282</v>
      </c>
      <c r="D95" s="524">
        <v>49</v>
      </c>
      <c r="E95" s="524">
        <v>7150</v>
      </c>
      <c r="F95" s="555">
        <v>350350</v>
      </c>
    </row>
    <row r="96" spans="1:6" ht="15.75">
      <c r="A96" s="136">
        <v>93</v>
      </c>
      <c r="B96" s="523" t="s">
        <v>3147</v>
      </c>
      <c r="C96" s="523" t="s">
        <v>3282</v>
      </c>
      <c r="D96" s="523">
        <v>20</v>
      </c>
      <c r="E96" s="523">
        <v>85000</v>
      </c>
      <c r="F96" s="556">
        <v>1700000</v>
      </c>
    </row>
    <row r="97" spans="1:6" ht="15.75">
      <c r="A97" s="136">
        <v>94</v>
      </c>
      <c r="B97" s="524" t="s">
        <v>3148</v>
      </c>
      <c r="C97" s="524" t="s">
        <v>286</v>
      </c>
      <c r="D97" s="524">
        <v>10</v>
      </c>
      <c r="E97" s="524">
        <v>15000</v>
      </c>
      <c r="F97" s="555">
        <v>150000</v>
      </c>
    </row>
    <row r="98" spans="1:6" ht="15.75">
      <c r="A98" s="136">
        <v>95</v>
      </c>
      <c r="B98" s="523" t="s">
        <v>3149</v>
      </c>
      <c r="C98" s="523" t="s">
        <v>286</v>
      </c>
      <c r="D98" s="523">
        <v>10</v>
      </c>
      <c r="E98" s="523">
        <v>11360</v>
      </c>
      <c r="F98" s="556">
        <v>113600</v>
      </c>
    </row>
    <row r="99" spans="1:6" ht="15.75">
      <c r="A99" s="136">
        <v>96</v>
      </c>
      <c r="B99" s="524" t="s">
        <v>3150</v>
      </c>
      <c r="C99" s="524" t="s">
        <v>286</v>
      </c>
      <c r="D99" s="543">
        <v>15</v>
      </c>
      <c r="E99" s="544">
        <v>12500</v>
      </c>
      <c r="F99" s="555">
        <v>187500</v>
      </c>
    </row>
    <row r="100" spans="1:6" ht="15.75">
      <c r="A100" s="136">
        <v>97</v>
      </c>
      <c r="B100" s="523" t="s">
        <v>3151</v>
      </c>
      <c r="C100" s="523" t="s">
        <v>286</v>
      </c>
      <c r="D100" s="523">
        <v>200</v>
      </c>
      <c r="E100" s="523">
        <v>12320</v>
      </c>
      <c r="F100" s="556">
        <v>2464000</v>
      </c>
    </row>
    <row r="101" spans="1:6" ht="15.75">
      <c r="A101" s="136">
        <v>98</v>
      </c>
      <c r="B101" s="524" t="s">
        <v>3081</v>
      </c>
      <c r="C101" s="524" t="s">
        <v>3282</v>
      </c>
      <c r="D101" s="524">
        <v>50</v>
      </c>
      <c r="E101" s="524">
        <v>53500</v>
      </c>
      <c r="F101" s="555">
        <v>2675000</v>
      </c>
    </row>
    <row r="102" spans="1:6" ht="15.75">
      <c r="A102" s="136">
        <v>99</v>
      </c>
      <c r="B102" s="523" t="s">
        <v>3081</v>
      </c>
      <c r="C102" s="523" t="s">
        <v>3282</v>
      </c>
      <c r="D102" s="523">
        <v>45</v>
      </c>
      <c r="E102" s="523">
        <v>55000</v>
      </c>
      <c r="F102" s="556">
        <v>2475000</v>
      </c>
    </row>
    <row r="103" spans="1:6" ht="15.75">
      <c r="A103" s="136">
        <v>100</v>
      </c>
      <c r="B103" s="524" t="s">
        <v>3152</v>
      </c>
      <c r="C103" s="524" t="s">
        <v>3282</v>
      </c>
      <c r="D103" s="524">
        <v>6</v>
      </c>
      <c r="E103" s="524">
        <v>18000</v>
      </c>
      <c r="F103" s="555">
        <v>108000</v>
      </c>
    </row>
    <row r="104" spans="1:6" ht="15.75">
      <c r="A104" s="136">
        <v>101</v>
      </c>
      <c r="B104" s="523" t="s">
        <v>3153</v>
      </c>
      <c r="C104" s="523" t="s">
        <v>286</v>
      </c>
      <c r="D104" s="523">
        <v>60</v>
      </c>
      <c r="E104" s="523">
        <v>1300</v>
      </c>
      <c r="F104" s="556">
        <v>78000</v>
      </c>
    </row>
    <row r="105" spans="1:6" ht="15.75">
      <c r="A105" s="136">
        <v>102</v>
      </c>
      <c r="B105" s="524" t="s">
        <v>3089</v>
      </c>
      <c r="C105" s="524" t="s">
        <v>432</v>
      </c>
      <c r="D105" s="524">
        <v>50</v>
      </c>
      <c r="E105" s="524">
        <v>7000</v>
      </c>
      <c r="F105" s="555">
        <v>350000</v>
      </c>
    </row>
    <row r="106" spans="1:6" ht="15.75">
      <c r="A106" s="136">
        <v>103</v>
      </c>
      <c r="B106" s="523" t="s">
        <v>654</v>
      </c>
      <c r="C106" s="523" t="s">
        <v>286</v>
      </c>
      <c r="D106" s="523">
        <v>4</v>
      </c>
      <c r="E106" s="523">
        <v>46000</v>
      </c>
      <c r="F106" s="556">
        <v>184000</v>
      </c>
    </row>
    <row r="107" spans="1:6" ht="15.75">
      <c r="A107" s="136">
        <v>104</v>
      </c>
      <c r="B107" s="524" t="s">
        <v>3143</v>
      </c>
      <c r="C107" s="524" t="s">
        <v>286</v>
      </c>
      <c r="D107" s="524">
        <v>2</v>
      </c>
      <c r="E107" s="524">
        <v>62000</v>
      </c>
      <c r="F107" s="555">
        <v>124000</v>
      </c>
    </row>
    <row r="108" spans="1:6" ht="15.75">
      <c r="A108" s="136">
        <v>105</v>
      </c>
      <c r="B108" s="523" t="s">
        <v>3138</v>
      </c>
      <c r="C108" s="523" t="s">
        <v>286</v>
      </c>
      <c r="D108" s="523">
        <v>80</v>
      </c>
      <c r="E108" s="523">
        <v>3500</v>
      </c>
      <c r="F108" s="556">
        <v>280000</v>
      </c>
    </row>
    <row r="109" spans="1:6" ht="15.75">
      <c r="A109" s="136">
        <v>106</v>
      </c>
      <c r="B109" s="524" t="s">
        <v>3144</v>
      </c>
      <c r="C109" s="524" t="s">
        <v>286</v>
      </c>
      <c r="D109" s="524">
        <v>2</v>
      </c>
      <c r="E109" s="524">
        <v>120800</v>
      </c>
      <c r="F109" s="555">
        <v>241600</v>
      </c>
    </row>
    <row r="110" spans="1:6" ht="15.75">
      <c r="A110" s="136">
        <v>107</v>
      </c>
      <c r="B110" s="523" t="s">
        <v>735</v>
      </c>
      <c r="C110" s="523" t="s">
        <v>3282</v>
      </c>
      <c r="D110" s="523">
        <v>6</v>
      </c>
      <c r="E110" s="523">
        <v>7150</v>
      </c>
      <c r="F110" s="556">
        <v>42900</v>
      </c>
    </row>
    <row r="111" spans="1:6" ht="15.75">
      <c r="A111" s="136">
        <v>108</v>
      </c>
      <c r="B111" s="524" t="s">
        <v>3154</v>
      </c>
      <c r="C111" s="524" t="s">
        <v>286</v>
      </c>
      <c r="D111" s="524">
        <v>100</v>
      </c>
      <c r="E111" s="524">
        <v>2050</v>
      </c>
      <c r="F111" s="555">
        <v>205000</v>
      </c>
    </row>
    <row r="112" spans="1:6" ht="15.75">
      <c r="A112" s="136">
        <v>109</v>
      </c>
      <c r="B112" s="523" t="s">
        <v>3155</v>
      </c>
      <c r="C112" s="523" t="s">
        <v>286</v>
      </c>
      <c r="D112" s="523">
        <v>60</v>
      </c>
      <c r="E112" s="523">
        <v>3000</v>
      </c>
      <c r="F112" s="556">
        <v>180000</v>
      </c>
    </row>
    <row r="113" spans="1:6" ht="15.75">
      <c r="A113" s="136">
        <v>110</v>
      </c>
      <c r="B113" s="524" t="s">
        <v>3156</v>
      </c>
      <c r="C113" s="524" t="s">
        <v>286</v>
      </c>
      <c r="D113" s="524">
        <v>4</v>
      </c>
      <c r="E113" s="524">
        <v>16100</v>
      </c>
      <c r="F113" s="555">
        <v>64400</v>
      </c>
    </row>
    <row r="114" spans="1:6" ht="15.75">
      <c r="A114" s="136">
        <v>111</v>
      </c>
      <c r="B114" s="523" t="s">
        <v>3157</v>
      </c>
      <c r="C114" s="523" t="s">
        <v>286</v>
      </c>
      <c r="D114" s="523">
        <v>2</v>
      </c>
      <c r="E114" s="523">
        <v>70000</v>
      </c>
      <c r="F114" s="556">
        <v>140000</v>
      </c>
    </row>
    <row r="115" spans="1:6" ht="15.75">
      <c r="A115" s="136">
        <v>112</v>
      </c>
      <c r="B115" s="524" t="s">
        <v>3099</v>
      </c>
      <c r="C115" s="524" t="s">
        <v>3282</v>
      </c>
      <c r="D115" s="524">
        <v>30</v>
      </c>
      <c r="E115" s="524">
        <v>6600</v>
      </c>
      <c r="F115" s="555">
        <v>198000</v>
      </c>
    </row>
    <row r="116" spans="1:6" ht="15.75">
      <c r="A116" s="136">
        <v>113</v>
      </c>
      <c r="B116" s="523" t="s">
        <v>661</v>
      </c>
      <c r="C116" s="523" t="s">
        <v>286</v>
      </c>
      <c r="D116" s="523">
        <v>30</v>
      </c>
      <c r="E116" s="523">
        <v>9000</v>
      </c>
      <c r="F116" s="556">
        <v>270000</v>
      </c>
    </row>
    <row r="117" spans="1:6" ht="15.75">
      <c r="A117" s="136">
        <v>114</v>
      </c>
      <c r="B117" s="524" t="s">
        <v>3158</v>
      </c>
      <c r="C117" s="524" t="s">
        <v>286</v>
      </c>
      <c r="D117" s="524">
        <v>20</v>
      </c>
      <c r="E117" s="524">
        <v>12250</v>
      </c>
      <c r="F117" s="555">
        <v>245000</v>
      </c>
    </row>
    <row r="118" spans="1:6" ht="15.75">
      <c r="A118" s="136">
        <v>115</v>
      </c>
      <c r="B118" s="523" t="s">
        <v>627</v>
      </c>
      <c r="C118" s="523" t="s">
        <v>286</v>
      </c>
      <c r="D118" s="523">
        <v>200</v>
      </c>
      <c r="E118" s="523">
        <v>6000</v>
      </c>
      <c r="F118" s="556">
        <v>1200000</v>
      </c>
    </row>
    <row r="119" spans="1:6" ht="15.75">
      <c r="A119" s="136">
        <v>116</v>
      </c>
      <c r="B119" s="524" t="s">
        <v>3159</v>
      </c>
      <c r="C119" s="524" t="s">
        <v>286</v>
      </c>
      <c r="D119" s="524">
        <v>30</v>
      </c>
      <c r="E119" s="524">
        <v>12000</v>
      </c>
      <c r="F119" s="555">
        <v>360000</v>
      </c>
    </row>
    <row r="120" spans="1:6" ht="15.75">
      <c r="A120" s="136">
        <v>117</v>
      </c>
      <c r="B120" s="545" t="s">
        <v>3160</v>
      </c>
      <c r="C120" s="523" t="s">
        <v>278</v>
      </c>
      <c r="D120" s="546">
        <v>40</v>
      </c>
      <c r="E120" s="527">
        <v>55000</v>
      </c>
      <c r="F120" s="556">
        <v>2200000</v>
      </c>
    </row>
    <row r="121" spans="1:6" ht="31.5">
      <c r="A121" s="136">
        <v>118</v>
      </c>
      <c r="B121" s="547" t="s">
        <v>3161</v>
      </c>
      <c r="C121" s="547" t="s">
        <v>1176</v>
      </c>
      <c r="D121" s="547">
        <v>75</v>
      </c>
      <c r="E121" s="526">
        <v>30000</v>
      </c>
      <c r="F121" s="555">
        <v>2250000</v>
      </c>
    </row>
    <row r="122" spans="1:6" ht="15.75">
      <c r="A122" s="136">
        <v>119</v>
      </c>
      <c r="B122" s="545" t="s">
        <v>3160</v>
      </c>
      <c r="C122" s="523" t="s">
        <v>278</v>
      </c>
      <c r="D122" s="546">
        <v>30</v>
      </c>
      <c r="E122" s="527">
        <v>55000</v>
      </c>
      <c r="F122" s="556">
        <v>1650000</v>
      </c>
    </row>
    <row r="123" spans="1:6" ht="31.5">
      <c r="A123" s="136">
        <v>120</v>
      </c>
      <c r="B123" s="547" t="s">
        <v>3162</v>
      </c>
      <c r="C123" s="547" t="s">
        <v>286</v>
      </c>
      <c r="D123" s="548">
        <v>60</v>
      </c>
      <c r="E123" s="526">
        <v>12000</v>
      </c>
      <c r="F123" s="555">
        <v>720000</v>
      </c>
    </row>
    <row r="124" spans="1:6" ht="31.5">
      <c r="A124" s="136">
        <v>121</v>
      </c>
      <c r="B124" s="545" t="s">
        <v>3163</v>
      </c>
      <c r="C124" s="523" t="s">
        <v>1176</v>
      </c>
      <c r="D124" s="546">
        <v>30</v>
      </c>
      <c r="E124" s="527">
        <v>30000</v>
      </c>
      <c r="F124" s="556">
        <v>900000</v>
      </c>
    </row>
    <row r="125" spans="1:6" ht="15.75">
      <c r="A125" s="136">
        <v>122</v>
      </c>
      <c r="B125" s="547" t="s">
        <v>3164</v>
      </c>
      <c r="C125" s="547" t="s">
        <v>286</v>
      </c>
      <c r="D125" s="547">
        <v>250</v>
      </c>
      <c r="E125" s="526">
        <v>3000</v>
      </c>
      <c r="F125" s="555">
        <v>750000</v>
      </c>
    </row>
    <row r="126" spans="1:6" ht="15.75">
      <c r="A126" s="136">
        <v>123</v>
      </c>
      <c r="B126" s="545" t="s">
        <v>3165</v>
      </c>
      <c r="C126" s="545" t="s">
        <v>286</v>
      </c>
      <c r="D126" s="545">
        <v>250</v>
      </c>
      <c r="E126" s="527">
        <v>3000</v>
      </c>
      <c r="F126" s="556">
        <v>750000</v>
      </c>
    </row>
    <row r="127" spans="1:6" ht="15.75">
      <c r="A127" s="136">
        <v>124</v>
      </c>
      <c r="B127" s="547" t="s">
        <v>3166</v>
      </c>
      <c r="C127" s="547" t="s">
        <v>286</v>
      </c>
      <c r="D127" s="547">
        <v>250</v>
      </c>
      <c r="E127" s="526">
        <v>3000</v>
      </c>
      <c r="F127" s="555">
        <v>750000</v>
      </c>
    </row>
    <row r="128" spans="1:6" ht="15.75">
      <c r="A128" s="136">
        <v>125</v>
      </c>
      <c r="B128" s="549" t="s">
        <v>3167</v>
      </c>
      <c r="C128" s="549" t="s">
        <v>286</v>
      </c>
      <c r="D128" s="550">
        <v>40</v>
      </c>
      <c r="E128" s="550">
        <v>55000</v>
      </c>
      <c r="F128" s="556">
        <v>2200000</v>
      </c>
    </row>
    <row r="129" spans="1:6" ht="15.75">
      <c r="A129" s="136">
        <v>126</v>
      </c>
      <c r="B129" s="543" t="s">
        <v>3168</v>
      </c>
      <c r="C129" s="543" t="s">
        <v>286</v>
      </c>
      <c r="D129" s="551">
        <v>3</v>
      </c>
      <c r="E129" s="551">
        <v>100000</v>
      </c>
      <c r="F129" s="555">
        <v>300000</v>
      </c>
    </row>
    <row r="130" spans="1:6" ht="15.75">
      <c r="A130" s="136">
        <v>127</v>
      </c>
      <c r="B130" s="549" t="s">
        <v>3169</v>
      </c>
      <c r="C130" s="549" t="s">
        <v>286</v>
      </c>
      <c r="D130" s="550">
        <v>10</v>
      </c>
      <c r="E130" s="550">
        <v>3000</v>
      </c>
      <c r="F130" s="556">
        <v>30000</v>
      </c>
    </row>
    <row r="131" spans="1:6" ht="15.75">
      <c r="A131" s="136">
        <v>128</v>
      </c>
      <c r="B131" s="543" t="s">
        <v>3170</v>
      </c>
      <c r="C131" s="543" t="s">
        <v>286</v>
      </c>
      <c r="D131" s="551">
        <v>100</v>
      </c>
      <c r="E131" s="551">
        <v>3000</v>
      </c>
      <c r="F131" s="555">
        <v>300000</v>
      </c>
    </row>
    <row r="132" spans="1:6" ht="15.75">
      <c r="A132" s="136">
        <v>129</v>
      </c>
      <c r="B132" s="549" t="s">
        <v>3171</v>
      </c>
      <c r="C132" s="549" t="s">
        <v>286</v>
      </c>
      <c r="D132" s="550">
        <v>200</v>
      </c>
      <c r="E132" s="550">
        <v>4000</v>
      </c>
      <c r="F132" s="556">
        <v>800000</v>
      </c>
    </row>
    <row r="133" spans="1:6" ht="15.75">
      <c r="A133" s="136">
        <v>130</v>
      </c>
      <c r="B133" s="543" t="s">
        <v>3172</v>
      </c>
      <c r="C133" s="543" t="s">
        <v>286</v>
      </c>
      <c r="D133" s="551">
        <v>3</v>
      </c>
      <c r="E133" s="551">
        <v>1000000</v>
      </c>
      <c r="F133" s="555">
        <v>3000000</v>
      </c>
    </row>
    <row r="134" spans="1:6" ht="15.75">
      <c r="A134" s="136">
        <v>131</v>
      </c>
      <c r="B134" s="549" t="s">
        <v>3173</v>
      </c>
      <c r="C134" s="549" t="s">
        <v>286</v>
      </c>
      <c r="D134" s="550">
        <v>40</v>
      </c>
      <c r="E134" s="550">
        <v>55000</v>
      </c>
      <c r="F134" s="556">
        <v>2200000</v>
      </c>
    </row>
    <row r="135" spans="1:6" ht="15.75">
      <c r="A135" s="136">
        <v>132</v>
      </c>
      <c r="B135" s="543" t="s">
        <v>3090</v>
      </c>
      <c r="C135" s="543" t="s">
        <v>286</v>
      </c>
      <c r="D135" s="551">
        <v>10</v>
      </c>
      <c r="E135" s="551">
        <v>30000</v>
      </c>
      <c r="F135" s="555">
        <v>300000</v>
      </c>
    </row>
    <row r="136" spans="1:6" ht="15.75">
      <c r="A136" s="136">
        <v>133</v>
      </c>
      <c r="B136" s="549" t="s">
        <v>3174</v>
      </c>
      <c r="C136" s="549" t="s">
        <v>3283</v>
      </c>
      <c r="D136" s="550">
        <v>50</v>
      </c>
      <c r="E136" s="550">
        <v>4000</v>
      </c>
      <c r="F136" s="556">
        <v>200000</v>
      </c>
    </row>
    <row r="137" spans="1:6" ht="15.75">
      <c r="A137" s="136">
        <v>134</v>
      </c>
      <c r="B137" s="543" t="s">
        <v>3143</v>
      </c>
      <c r="C137" s="543" t="s">
        <v>286</v>
      </c>
      <c r="D137" s="551">
        <v>5</v>
      </c>
      <c r="E137" s="551">
        <v>30000</v>
      </c>
      <c r="F137" s="555">
        <v>150000</v>
      </c>
    </row>
    <row r="138" spans="1:6" ht="15.75">
      <c r="A138" s="136">
        <v>135</v>
      </c>
      <c r="B138" s="549" t="s">
        <v>3175</v>
      </c>
      <c r="C138" s="549" t="s">
        <v>286</v>
      </c>
      <c r="D138" s="550">
        <v>12</v>
      </c>
      <c r="E138" s="550">
        <v>90000</v>
      </c>
      <c r="F138" s="556">
        <v>1080000</v>
      </c>
    </row>
    <row r="139" spans="1:6" ht="15.75">
      <c r="A139" s="136">
        <v>136</v>
      </c>
      <c r="B139" s="543" t="s">
        <v>3171</v>
      </c>
      <c r="C139" s="543" t="s">
        <v>286</v>
      </c>
      <c r="D139" s="551">
        <v>200</v>
      </c>
      <c r="E139" s="551">
        <v>3700</v>
      </c>
      <c r="F139" s="555">
        <v>740000</v>
      </c>
    </row>
    <row r="140" spans="1:6" ht="15.75">
      <c r="A140" s="136">
        <v>137</v>
      </c>
      <c r="B140" s="523" t="s">
        <v>3081</v>
      </c>
      <c r="C140" s="523" t="s">
        <v>693</v>
      </c>
      <c r="D140" s="523">
        <v>20</v>
      </c>
      <c r="E140" s="523">
        <v>51000</v>
      </c>
      <c r="F140" s="556">
        <v>1020000</v>
      </c>
    </row>
    <row r="141" spans="1:6" ht="15.75">
      <c r="A141" s="136">
        <v>138</v>
      </c>
      <c r="B141" s="524" t="s">
        <v>3147</v>
      </c>
      <c r="C141" s="524" t="s">
        <v>693</v>
      </c>
      <c r="D141" s="524">
        <v>7</v>
      </c>
      <c r="E141" s="524">
        <v>70000</v>
      </c>
      <c r="F141" s="555">
        <v>490000</v>
      </c>
    </row>
    <row r="142" spans="1:6" ht="15.75">
      <c r="A142" s="136">
        <v>139</v>
      </c>
      <c r="B142" s="523" t="s">
        <v>3176</v>
      </c>
      <c r="C142" s="523" t="s">
        <v>286</v>
      </c>
      <c r="D142" s="523">
        <v>50</v>
      </c>
      <c r="E142" s="523">
        <v>15000</v>
      </c>
      <c r="F142" s="556">
        <v>750000</v>
      </c>
    </row>
    <row r="143" spans="1:6" ht="15.75">
      <c r="A143" s="136">
        <v>140</v>
      </c>
      <c r="B143" s="524" t="s">
        <v>3177</v>
      </c>
      <c r="C143" s="524" t="s">
        <v>286</v>
      </c>
      <c r="D143" s="524">
        <v>100</v>
      </c>
      <c r="E143" s="524">
        <v>2000</v>
      </c>
      <c r="F143" s="555">
        <v>200000</v>
      </c>
    </row>
    <row r="144" spans="1:6" ht="15.75">
      <c r="A144" s="136">
        <v>141</v>
      </c>
      <c r="B144" s="523" t="s">
        <v>3178</v>
      </c>
      <c r="C144" s="523" t="s">
        <v>286</v>
      </c>
      <c r="D144" s="523">
        <v>50</v>
      </c>
      <c r="E144" s="523">
        <v>2500</v>
      </c>
      <c r="F144" s="556">
        <v>125000</v>
      </c>
    </row>
    <row r="145" spans="1:6" ht="15.75">
      <c r="A145" s="136">
        <v>142</v>
      </c>
      <c r="B145" s="524" t="s">
        <v>3179</v>
      </c>
      <c r="C145" s="524" t="s">
        <v>693</v>
      </c>
      <c r="D145" s="524">
        <v>30</v>
      </c>
      <c r="E145" s="524">
        <v>3000</v>
      </c>
      <c r="F145" s="555">
        <v>90000</v>
      </c>
    </row>
    <row r="146" spans="1:6" ht="15.75">
      <c r="A146" s="136">
        <v>143</v>
      </c>
      <c r="B146" s="523" t="s">
        <v>3180</v>
      </c>
      <c r="C146" s="523" t="s">
        <v>286</v>
      </c>
      <c r="D146" s="523">
        <v>10</v>
      </c>
      <c r="E146" s="523">
        <v>18130</v>
      </c>
      <c r="F146" s="556">
        <v>181300</v>
      </c>
    </row>
    <row r="147" spans="1:6" ht="15.75">
      <c r="A147" s="136">
        <v>144</v>
      </c>
      <c r="B147" s="524" t="s">
        <v>3179</v>
      </c>
      <c r="C147" s="524" t="s">
        <v>693</v>
      </c>
      <c r="D147" s="524">
        <v>20</v>
      </c>
      <c r="E147" s="524">
        <v>6324</v>
      </c>
      <c r="F147" s="555">
        <v>126480</v>
      </c>
    </row>
    <row r="148" spans="1:6" ht="15.75">
      <c r="A148" s="136">
        <v>145</v>
      </c>
      <c r="B148" s="523" t="s">
        <v>3181</v>
      </c>
      <c r="C148" s="523" t="s">
        <v>286</v>
      </c>
      <c r="D148" s="523">
        <v>1</v>
      </c>
      <c r="E148" s="523">
        <v>200000</v>
      </c>
      <c r="F148" s="556">
        <v>200000</v>
      </c>
    </row>
    <row r="149" spans="1:6" ht="15.75">
      <c r="A149" s="136">
        <v>146</v>
      </c>
      <c r="B149" s="524" t="s">
        <v>3182</v>
      </c>
      <c r="C149" s="524" t="s">
        <v>286</v>
      </c>
      <c r="D149" s="524">
        <v>5</v>
      </c>
      <c r="E149" s="524">
        <v>23000</v>
      </c>
      <c r="F149" s="555">
        <v>115000</v>
      </c>
    </row>
    <row r="150" spans="1:6" ht="15.75">
      <c r="A150" s="136">
        <v>147</v>
      </c>
      <c r="B150" s="523" t="s">
        <v>3183</v>
      </c>
      <c r="C150" s="523" t="s">
        <v>693</v>
      </c>
      <c r="D150" s="523">
        <v>30</v>
      </c>
      <c r="E150" s="523">
        <v>3500</v>
      </c>
      <c r="F150" s="556">
        <v>105000</v>
      </c>
    </row>
    <row r="151" spans="1:6" ht="15.75">
      <c r="A151" s="136">
        <v>148</v>
      </c>
      <c r="B151" s="524" t="s">
        <v>3184</v>
      </c>
      <c r="C151" s="524" t="s">
        <v>286</v>
      </c>
      <c r="D151" s="524">
        <v>50</v>
      </c>
      <c r="E151" s="524">
        <v>2000</v>
      </c>
      <c r="F151" s="555">
        <v>100000</v>
      </c>
    </row>
    <row r="152" spans="1:6" ht="15.75">
      <c r="A152" s="136">
        <v>149</v>
      </c>
      <c r="B152" s="523" t="s">
        <v>3185</v>
      </c>
      <c r="C152" s="523" t="s">
        <v>286</v>
      </c>
      <c r="D152" s="523">
        <v>12</v>
      </c>
      <c r="E152" s="523">
        <v>25000</v>
      </c>
      <c r="F152" s="556">
        <v>300000</v>
      </c>
    </row>
    <row r="153" spans="1:6" ht="15.75">
      <c r="A153" s="136">
        <v>150</v>
      </c>
      <c r="B153" s="524" t="s">
        <v>3186</v>
      </c>
      <c r="C153" s="524" t="s">
        <v>693</v>
      </c>
      <c r="D153" s="524">
        <v>5</v>
      </c>
      <c r="E153" s="524">
        <v>20000</v>
      </c>
      <c r="F153" s="555">
        <v>100000</v>
      </c>
    </row>
    <row r="154" spans="1:6" ht="15.75">
      <c r="A154" s="136">
        <v>151</v>
      </c>
      <c r="B154" s="523" t="s">
        <v>3187</v>
      </c>
      <c r="C154" s="523" t="s">
        <v>693</v>
      </c>
      <c r="D154" s="523">
        <v>1</v>
      </c>
      <c r="E154" s="523">
        <v>230000</v>
      </c>
      <c r="F154" s="556">
        <v>230000</v>
      </c>
    </row>
    <row r="155" spans="1:6" ht="15.75">
      <c r="A155" s="136">
        <v>152</v>
      </c>
      <c r="B155" s="524" t="s">
        <v>3188</v>
      </c>
      <c r="C155" s="524" t="s">
        <v>286</v>
      </c>
      <c r="D155" s="524">
        <v>10</v>
      </c>
      <c r="E155" s="524">
        <v>100000</v>
      </c>
      <c r="F155" s="555">
        <v>1000000</v>
      </c>
    </row>
    <row r="156" spans="1:6" ht="15.75">
      <c r="A156" s="136">
        <v>153</v>
      </c>
      <c r="B156" s="523" t="s">
        <v>713</v>
      </c>
      <c r="C156" s="523" t="s">
        <v>286</v>
      </c>
      <c r="D156" s="523">
        <v>10</v>
      </c>
      <c r="E156" s="523">
        <v>33000</v>
      </c>
      <c r="F156" s="556">
        <v>330000</v>
      </c>
    </row>
    <row r="157" spans="1:6" ht="15.75">
      <c r="A157" s="136">
        <v>154</v>
      </c>
      <c r="B157" s="524" t="s">
        <v>3189</v>
      </c>
      <c r="C157" s="524" t="s">
        <v>693</v>
      </c>
      <c r="D157" s="524">
        <v>5</v>
      </c>
      <c r="E157" s="524">
        <v>36500</v>
      </c>
      <c r="F157" s="555">
        <v>182500</v>
      </c>
    </row>
    <row r="158" spans="1:6" ht="15.75">
      <c r="A158" s="136">
        <v>155</v>
      </c>
      <c r="B158" s="523" t="s">
        <v>3190</v>
      </c>
      <c r="C158" s="523" t="s">
        <v>693</v>
      </c>
      <c r="D158" s="523">
        <v>5</v>
      </c>
      <c r="E158" s="523">
        <v>50000</v>
      </c>
      <c r="F158" s="556">
        <v>250000</v>
      </c>
    </row>
    <row r="159" spans="1:6" ht="15.75">
      <c r="A159" s="136">
        <v>156</v>
      </c>
      <c r="B159" s="524" t="s">
        <v>3191</v>
      </c>
      <c r="C159" s="524" t="s">
        <v>286</v>
      </c>
      <c r="D159" s="524">
        <v>2</v>
      </c>
      <c r="E159" s="524">
        <v>300000</v>
      </c>
      <c r="F159" s="555">
        <v>600000</v>
      </c>
    </row>
    <row r="160" spans="1:6" ht="15.75">
      <c r="A160" s="136">
        <v>157</v>
      </c>
      <c r="B160" s="523" t="s">
        <v>3192</v>
      </c>
      <c r="C160" s="523" t="s">
        <v>286</v>
      </c>
      <c r="D160" s="523">
        <v>400</v>
      </c>
      <c r="E160" s="523">
        <v>3800</v>
      </c>
      <c r="F160" s="556">
        <v>1520000</v>
      </c>
    </row>
    <row r="161" spans="1:6" ht="15.75">
      <c r="A161" s="136">
        <v>158</v>
      </c>
      <c r="B161" s="524" t="s">
        <v>3081</v>
      </c>
      <c r="C161" s="543" t="s">
        <v>693</v>
      </c>
      <c r="D161" s="524">
        <v>20</v>
      </c>
      <c r="E161" s="533">
        <v>51000</v>
      </c>
      <c r="F161" s="555">
        <v>1020000</v>
      </c>
    </row>
    <row r="162" spans="1:6" ht="15.75">
      <c r="A162" s="136">
        <v>159</v>
      </c>
      <c r="B162" s="523" t="s">
        <v>3147</v>
      </c>
      <c r="C162" s="549" t="s">
        <v>693</v>
      </c>
      <c r="D162" s="523">
        <v>5</v>
      </c>
      <c r="E162" s="534">
        <v>100000</v>
      </c>
      <c r="F162" s="556">
        <v>500000</v>
      </c>
    </row>
    <row r="163" spans="1:6" ht="15.75">
      <c r="A163" s="136">
        <v>160</v>
      </c>
      <c r="B163" s="524" t="s">
        <v>3179</v>
      </c>
      <c r="C163" s="543" t="s">
        <v>693</v>
      </c>
      <c r="D163" s="524">
        <v>30</v>
      </c>
      <c r="E163" s="524">
        <v>5000</v>
      </c>
      <c r="F163" s="555">
        <v>150000</v>
      </c>
    </row>
    <row r="164" spans="1:6" ht="15.75">
      <c r="A164" s="136">
        <v>161</v>
      </c>
      <c r="B164" s="523" t="s">
        <v>3180</v>
      </c>
      <c r="C164" s="549" t="s">
        <v>286</v>
      </c>
      <c r="D164" s="523">
        <v>10</v>
      </c>
      <c r="E164" s="523">
        <v>30000</v>
      </c>
      <c r="F164" s="556">
        <v>300000</v>
      </c>
    </row>
    <row r="165" spans="1:6" ht="15.75">
      <c r="A165" s="136">
        <v>162</v>
      </c>
      <c r="B165" s="524" t="s">
        <v>3179</v>
      </c>
      <c r="C165" s="543" t="s">
        <v>693</v>
      </c>
      <c r="D165" s="524">
        <v>20</v>
      </c>
      <c r="E165" s="524">
        <v>8000</v>
      </c>
      <c r="F165" s="555">
        <v>160000</v>
      </c>
    </row>
    <row r="166" spans="1:6" ht="15.75">
      <c r="A166" s="136">
        <v>163</v>
      </c>
      <c r="B166" s="523" t="s">
        <v>3183</v>
      </c>
      <c r="C166" s="549" t="s">
        <v>693</v>
      </c>
      <c r="D166" s="523">
        <v>30</v>
      </c>
      <c r="E166" s="523">
        <v>3500</v>
      </c>
      <c r="F166" s="556">
        <v>105000</v>
      </c>
    </row>
    <row r="167" spans="1:6" ht="15.75">
      <c r="A167" s="136">
        <v>164</v>
      </c>
      <c r="B167" s="524" t="s">
        <v>3184</v>
      </c>
      <c r="C167" s="543" t="s">
        <v>286</v>
      </c>
      <c r="D167" s="524">
        <v>50</v>
      </c>
      <c r="E167" s="524">
        <v>6300</v>
      </c>
      <c r="F167" s="555">
        <v>315000</v>
      </c>
    </row>
    <row r="168" spans="1:6" ht="15.75">
      <c r="A168" s="136">
        <v>165</v>
      </c>
      <c r="B168" s="537" t="s">
        <v>713</v>
      </c>
      <c r="C168" s="549" t="s">
        <v>286</v>
      </c>
      <c r="D168" s="523">
        <v>10</v>
      </c>
      <c r="E168" s="523">
        <v>36000</v>
      </c>
      <c r="F168" s="556">
        <v>360000</v>
      </c>
    </row>
    <row r="169" spans="1:6" ht="15.75">
      <c r="A169" s="136">
        <v>166</v>
      </c>
      <c r="B169" s="539" t="s">
        <v>3193</v>
      </c>
      <c r="C169" s="543" t="s">
        <v>693</v>
      </c>
      <c r="D169" s="524">
        <v>5</v>
      </c>
      <c r="E169" s="524">
        <v>38000</v>
      </c>
      <c r="F169" s="555">
        <v>190000</v>
      </c>
    </row>
    <row r="170" spans="1:6" ht="15.75">
      <c r="A170" s="136">
        <v>167</v>
      </c>
      <c r="B170" s="537" t="s">
        <v>3190</v>
      </c>
      <c r="C170" s="549" t="s">
        <v>693</v>
      </c>
      <c r="D170" s="523">
        <v>5</v>
      </c>
      <c r="E170" s="523">
        <v>50000</v>
      </c>
      <c r="F170" s="556">
        <v>250000</v>
      </c>
    </row>
    <row r="171" spans="1:6" ht="15.75">
      <c r="A171" s="136">
        <v>168</v>
      </c>
      <c r="B171" s="539" t="s">
        <v>3194</v>
      </c>
      <c r="C171" s="543" t="s">
        <v>693</v>
      </c>
      <c r="D171" s="524">
        <v>1</v>
      </c>
      <c r="E171" s="524">
        <v>250000</v>
      </c>
      <c r="F171" s="555">
        <v>250000</v>
      </c>
    </row>
    <row r="172" spans="1:6" ht="15.75">
      <c r="A172" s="136">
        <v>169</v>
      </c>
      <c r="B172" s="537" t="s">
        <v>3195</v>
      </c>
      <c r="C172" s="549" t="s">
        <v>693</v>
      </c>
      <c r="D172" s="523">
        <v>1</v>
      </c>
      <c r="E172" s="523">
        <v>100000</v>
      </c>
      <c r="F172" s="556">
        <v>100000</v>
      </c>
    </row>
    <row r="173" spans="1:6" ht="15.75">
      <c r="A173" s="136">
        <v>170</v>
      </c>
      <c r="B173" s="539" t="s">
        <v>3196</v>
      </c>
      <c r="C173" s="543" t="s">
        <v>693</v>
      </c>
      <c r="D173" s="524">
        <v>1</v>
      </c>
      <c r="E173" s="524">
        <v>100000</v>
      </c>
      <c r="F173" s="555">
        <v>100000</v>
      </c>
    </row>
    <row r="174" spans="1:6" ht="15.75">
      <c r="A174" s="136">
        <v>171</v>
      </c>
      <c r="B174" s="552" t="s">
        <v>3197</v>
      </c>
      <c r="C174" s="549" t="s">
        <v>286</v>
      </c>
      <c r="D174" s="523">
        <v>600</v>
      </c>
      <c r="E174" s="523">
        <v>2900</v>
      </c>
      <c r="F174" s="556">
        <v>1740000</v>
      </c>
    </row>
    <row r="175" spans="1:6" ht="15.75">
      <c r="A175" s="136">
        <v>172</v>
      </c>
      <c r="B175" s="539" t="s">
        <v>3198</v>
      </c>
      <c r="C175" s="543" t="s">
        <v>286</v>
      </c>
      <c r="D175" s="524">
        <v>10</v>
      </c>
      <c r="E175" s="524">
        <v>27000</v>
      </c>
      <c r="F175" s="555">
        <v>270000</v>
      </c>
    </row>
    <row r="176" spans="1:6" ht="15.75">
      <c r="A176" s="136">
        <v>173</v>
      </c>
      <c r="B176" s="537" t="s">
        <v>3199</v>
      </c>
      <c r="C176" s="549" t="s">
        <v>286</v>
      </c>
      <c r="D176" s="523">
        <v>10</v>
      </c>
      <c r="E176" s="523">
        <v>30000</v>
      </c>
      <c r="F176" s="556">
        <v>300000</v>
      </c>
    </row>
    <row r="177" spans="1:6" ht="15.75">
      <c r="A177" s="136">
        <v>174</v>
      </c>
      <c r="B177" s="524" t="s">
        <v>3200</v>
      </c>
      <c r="C177" s="524" t="s">
        <v>286</v>
      </c>
      <c r="D177" s="524">
        <v>6</v>
      </c>
      <c r="E177" s="524">
        <v>100000</v>
      </c>
      <c r="F177" s="555">
        <v>600000</v>
      </c>
    </row>
    <row r="178" spans="1:6" ht="15.75">
      <c r="A178" s="136">
        <v>175</v>
      </c>
      <c r="B178" s="523" t="s">
        <v>3201</v>
      </c>
      <c r="C178" s="549" t="s">
        <v>286</v>
      </c>
      <c r="D178" s="549">
        <v>20</v>
      </c>
      <c r="E178" s="553">
        <v>20000</v>
      </c>
      <c r="F178" s="556">
        <v>400000</v>
      </c>
    </row>
    <row r="179" spans="1:6" ht="15.75">
      <c r="A179" s="136">
        <v>176</v>
      </c>
      <c r="B179" s="524" t="s">
        <v>3202</v>
      </c>
      <c r="C179" s="543" t="s">
        <v>286</v>
      </c>
      <c r="D179" s="543">
        <v>2</v>
      </c>
      <c r="E179" s="554">
        <v>260000</v>
      </c>
      <c r="F179" s="555">
        <v>520000</v>
      </c>
    </row>
    <row r="180" spans="1:6" ht="15.75">
      <c r="A180" s="136">
        <v>177</v>
      </c>
      <c r="B180" s="535" t="s">
        <v>3203</v>
      </c>
      <c r="C180" s="549" t="s">
        <v>286</v>
      </c>
      <c r="D180" s="549">
        <v>10</v>
      </c>
      <c r="E180" s="553">
        <v>13000</v>
      </c>
      <c r="F180" s="556">
        <v>130000</v>
      </c>
    </row>
    <row r="181" spans="1:6" ht="15.75">
      <c r="A181" s="136">
        <v>178</v>
      </c>
      <c r="B181" s="536" t="s">
        <v>3204</v>
      </c>
      <c r="C181" s="543" t="s">
        <v>286</v>
      </c>
      <c r="D181" s="543">
        <v>2</v>
      </c>
      <c r="E181" s="554">
        <v>70000</v>
      </c>
      <c r="F181" s="555">
        <v>140000</v>
      </c>
    </row>
    <row r="182" spans="1:6" ht="15.75">
      <c r="A182" s="136">
        <v>179</v>
      </c>
      <c r="B182" s="549" t="s">
        <v>3192</v>
      </c>
      <c r="C182" s="549" t="s">
        <v>286</v>
      </c>
      <c r="D182" s="549">
        <v>100</v>
      </c>
      <c r="E182" s="549">
        <v>5500</v>
      </c>
      <c r="F182" s="556">
        <v>550000</v>
      </c>
    </row>
    <row r="183" spans="1:6" ht="15.75">
      <c r="A183" s="136">
        <v>180</v>
      </c>
      <c r="B183" s="539" t="s">
        <v>713</v>
      </c>
      <c r="C183" s="543" t="s">
        <v>286</v>
      </c>
      <c r="D183" s="524">
        <v>10</v>
      </c>
      <c r="E183" s="555">
        <v>10000</v>
      </c>
      <c r="F183" s="555">
        <v>100000</v>
      </c>
    </row>
    <row r="184" spans="1:6" ht="15.75">
      <c r="A184" s="136">
        <v>181</v>
      </c>
      <c r="B184" s="523" t="s">
        <v>3177</v>
      </c>
      <c r="C184" s="549" t="s">
        <v>286</v>
      </c>
      <c r="D184" s="523">
        <v>100</v>
      </c>
      <c r="E184" s="556">
        <v>2000</v>
      </c>
      <c r="F184" s="556">
        <v>200000</v>
      </c>
    </row>
    <row r="185" spans="1:6" ht="15.75">
      <c r="A185" s="136">
        <v>182</v>
      </c>
      <c r="B185" s="524" t="s">
        <v>3178</v>
      </c>
      <c r="C185" s="543" t="s">
        <v>286</v>
      </c>
      <c r="D185" s="524">
        <v>50</v>
      </c>
      <c r="E185" s="555">
        <v>2500</v>
      </c>
      <c r="F185" s="555">
        <v>125000</v>
      </c>
    </row>
    <row r="186" spans="1:6" ht="15.75">
      <c r="A186" s="136">
        <v>183</v>
      </c>
      <c r="B186" s="523" t="s">
        <v>3180</v>
      </c>
      <c r="C186" s="549" t="s">
        <v>286</v>
      </c>
      <c r="D186" s="523">
        <v>20</v>
      </c>
      <c r="E186" s="534">
        <v>12000</v>
      </c>
      <c r="F186" s="556">
        <v>240000</v>
      </c>
    </row>
    <row r="187" spans="1:6" ht="15.75">
      <c r="A187" s="136">
        <v>184</v>
      </c>
      <c r="B187" s="539" t="s">
        <v>3205</v>
      </c>
      <c r="C187" s="543" t="s">
        <v>286</v>
      </c>
      <c r="D187" s="524">
        <v>10</v>
      </c>
      <c r="E187" s="555">
        <v>35000</v>
      </c>
      <c r="F187" s="555">
        <v>350000</v>
      </c>
    </row>
    <row r="188" spans="1:6" ht="15.75">
      <c r="A188" s="136">
        <v>185</v>
      </c>
      <c r="B188" s="537" t="s">
        <v>3186</v>
      </c>
      <c r="C188" s="549" t="s">
        <v>693</v>
      </c>
      <c r="D188" s="523">
        <v>5</v>
      </c>
      <c r="E188" s="556">
        <v>37000</v>
      </c>
      <c r="F188" s="556">
        <v>185000</v>
      </c>
    </row>
    <row r="189" spans="1:6" ht="15.75">
      <c r="A189" s="136">
        <v>186</v>
      </c>
      <c r="B189" s="539" t="s">
        <v>3190</v>
      </c>
      <c r="C189" s="543" t="s">
        <v>693</v>
      </c>
      <c r="D189" s="524">
        <v>5</v>
      </c>
      <c r="E189" s="555">
        <v>50000</v>
      </c>
      <c r="F189" s="555">
        <v>250000</v>
      </c>
    </row>
    <row r="190" spans="1:6" ht="15.75">
      <c r="A190" s="136">
        <v>187</v>
      </c>
      <c r="B190" s="537" t="s">
        <v>3193</v>
      </c>
      <c r="C190" s="549" t="s">
        <v>693</v>
      </c>
      <c r="D190" s="523">
        <v>5</v>
      </c>
      <c r="E190" s="523">
        <v>38000</v>
      </c>
      <c r="F190" s="556">
        <v>190000</v>
      </c>
    </row>
    <row r="191" spans="1:6" ht="15.75">
      <c r="A191" s="136">
        <v>188</v>
      </c>
      <c r="B191" s="539" t="s">
        <v>3206</v>
      </c>
      <c r="C191" s="543" t="s">
        <v>286</v>
      </c>
      <c r="D191" s="524">
        <v>10</v>
      </c>
      <c r="E191" s="524">
        <v>70000</v>
      </c>
      <c r="F191" s="555">
        <v>700000</v>
      </c>
    </row>
    <row r="192" spans="1:6" ht="15.75">
      <c r="A192" s="136">
        <v>189</v>
      </c>
      <c r="B192" s="537" t="s">
        <v>3207</v>
      </c>
      <c r="C192" s="549" t="s">
        <v>286</v>
      </c>
      <c r="D192" s="523">
        <v>10</v>
      </c>
      <c r="E192" s="523">
        <v>60000</v>
      </c>
      <c r="F192" s="556">
        <v>600000</v>
      </c>
    </row>
    <row r="193" spans="1:6" ht="15.75">
      <c r="A193" s="136">
        <v>190</v>
      </c>
      <c r="B193" s="539" t="s">
        <v>3208</v>
      </c>
      <c r="C193" s="543" t="s">
        <v>286</v>
      </c>
      <c r="D193" s="557">
        <v>20</v>
      </c>
      <c r="E193" s="558">
        <v>14000</v>
      </c>
      <c r="F193" s="555">
        <v>280000</v>
      </c>
    </row>
    <row r="194" spans="1:6" ht="15.75">
      <c r="A194" s="136">
        <v>191</v>
      </c>
      <c r="B194" s="537" t="s">
        <v>3209</v>
      </c>
      <c r="C194" s="549" t="s">
        <v>286</v>
      </c>
      <c r="D194" s="549">
        <v>5</v>
      </c>
      <c r="E194" s="559">
        <v>60000</v>
      </c>
      <c r="F194" s="556">
        <v>300000</v>
      </c>
    </row>
    <row r="195" spans="1:6" ht="15.75">
      <c r="A195" s="136">
        <v>192</v>
      </c>
      <c r="B195" s="557" t="s">
        <v>3197</v>
      </c>
      <c r="C195" s="543" t="s">
        <v>286</v>
      </c>
      <c r="D195" s="524">
        <v>600</v>
      </c>
      <c r="E195" s="542">
        <v>3000</v>
      </c>
      <c r="F195" s="555">
        <v>1800000</v>
      </c>
    </row>
    <row r="196" spans="1:6" ht="15.75">
      <c r="A196" s="136">
        <v>193</v>
      </c>
      <c r="B196" s="523" t="s">
        <v>3081</v>
      </c>
      <c r="C196" s="549" t="s">
        <v>693</v>
      </c>
      <c r="D196" s="523">
        <v>40</v>
      </c>
      <c r="E196" s="523">
        <v>55000</v>
      </c>
      <c r="F196" s="556">
        <v>2200000</v>
      </c>
    </row>
    <row r="197" spans="1:6" ht="15.75">
      <c r="A197" s="136">
        <v>194</v>
      </c>
      <c r="B197" s="539" t="s">
        <v>3210</v>
      </c>
      <c r="C197" s="543" t="s">
        <v>286</v>
      </c>
      <c r="D197" s="557">
        <v>2</v>
      </c>
      <c r="E197" s="560">
        <v>315000</v>
      </c>
      <c r="F197" s="555">
        <v>630000</v>
      </c>
    </row>
    <row r="198" spans="1:6" ht="15.75">
      <c r="A198" s="136">
        <v>195</v>
      </c>
      <c r="B198" s="537" t="s">
        <v>3211</v>
      </c>
      <c r="C198" s="549" t="s">
        <v>286</v>
      </c>
      <c r="D198" s="552">
        <v>2</v>
      </c>
      <c r="E198" s="561">
        <v>380000</v>
      </c>
      <c r="F198" s="556">
        <v>760000</v>
      </c>
    </row>
    <row r="199" spans="1:6" ht="15.75">
      <c r="A199" s="136">
        <v>196</v>
      </c>
      <c r="B199" s="539"/>
      <c r="C199" s="543"/>
      <c r="D199" s="557"/>
      <c r="E199" s="560"/>
      <c r="F199" s="555">
        <v>0</v>
      </c>
    </row>
    <row r="200" spans="1:6" ht="15.75">
      <c r="A200" s="136">
        <v>197</v>
      </c>
      <c r="B200" s="537" t="s">
        <v>3212</v>
      </c>
      <c r="C200" s="549" t="s">
        <v>286</v>
      </c>
      <c r="D200" s="552">
        <v>10</v>
      </c>
      <c r="E200" s="561">
        <v>45000</v>
      </c>
      <c r="F200" s="556">
        <v>450000</v>
      </c>
    </row>
    <row r="201" spans="1:6" ht="15.75">
      <c r="A201" s="136">
        <v>198</v>
      </c>
      <c r="B201" s="539" t="s">
        <v>3213</v>
      </c>
      <c r="C201" s="543" t="s">
        <v>286</v>
      </c>
      <c r="D201" s="557">
        <v>2</v>
      </c>
      <c r="E201" s="560">
        <v>100000</v>
      </c>
      <c r="F201" s="555">
        <v>200000</v>
      </c>
    </row>
    <row r="202" spans="1:6" ht="15.75">
      <c r="A202" s="136">
        <v>199</v>
      </c>
      <c r="B202" s="537" t="s">
        <v>3214</v>
      </c>
      <c r="C202" s="549" t="s">
        <v>286</v>
      </c>
      <c r="D202" s="552">
        <v>2</v>
      </c>
      <c r="E202" s="561">
        <v>250000</v>
      </c>
      <c r="F202" s="556">
        <v>500000</v>
      </c>
    </row>
    <row r="203" spans="1:6" ht="15.75">
      <c r="A203" s="136">
        <v>200</v>
      </c>
      <c r="B203" s="539" t="s">
        <v>3215</v>
      </c>
      <c r="C203" s="543" t="s">
        <v>286</v>
      </c>
      <c r="D203" s="543">
        <v>4</v>
      </c>
      <c r="E203" s="560">
        <v>50000</v>
      </c>
      <c r="F203" s="555">
        <v>200000</v>
      </c>
    </row>
    <row r="204" spans="1:6" ht="15.75">
      <c r="A204" s="136">
        <v>201</v>
      </c>
      <c r="B204" s="523" t="s">
        <v>3216</v>
      </c>
      <c r="C204" s="523" t="s">
        <v>3282</v>
      </c>
      <c r="D204" s="523">
        <v>50</v>
      </c>
      <c r="E204" s="556">
        <v>56000</v>
      </c>
      <c r="F204" s="556">
        <v>2800000</v>
      </c>
    </row>
    <row r="205" spans="1:6" ht="15.75">
      <c r="A205" s="136">
        <v>202</v>
      </c>
      <c r="B205" s="524" t="s">
        <v>3089</v>
      </c>
      <c r="C205" s="524" t="s">
        <v>127</v>
      </c>
      <c r="D205" s="524">
        <v>20</v>
      </c>
      <c r="E205" s="555">
        <v>114000</v>
      </c>
      <c r="F205" s="555">
        <v>2280000</v>
      </c>
    </row>
    <row r="206" spans="1:6" ht="15.75">
      <c r="A206" s="136">
        <v>203</v>
      </c>
      <c r="B206" s="523" t="s">
        <v>3217</v>
      </c>
      <c r="C206" s="523" t="s">
        <v>286</v>
      </c>
      <c r="D206" s="523">
        <v>60</v>
      </c>
      <c r="E206" s="556">
        <v>5500</v>
      </c>
      <c r="F206" s="556">
        <v>330000</v>
      </c>
    </row>
    <row r="207" spans="1:6" ht="15.75">
      <c r="A207" s="136">
        <v>204</v>
      </c>
      <c r="B207" s="524" t="s">
        <v>3218</v>
      </c>
      <c r="C207" s="524" t="s">
        <v>286</v>
      </c>
      <c r="D207" s="524">
        <v>30</v>
      </c>
      <c r="E207" s="555">
        <v>13000</v>
      </c>
      <c r="F207" s="555">
        <v>390000</v>
      </c>
    </row>
    <row r="208" spans="1:6" ht="15.75">
      <c r="A208" s="136">
        <v>205</v>
      </c>
      <c r="B208" s="523" t="s">
        <v>3219</v>
      </c>
      <c r="C208" s="523" t="s">
        <v>286</v>
      </c>
      <c r="D208" s="523">
        <v>60</v>
      </c>
      <c r="E208" s="556">
        <v>5500</v>
      </c>
      <c r="F208" s="556">
        <v>330000</v>
      </c>
    </row>
    <row r="209" spans="1:6" ht="15.75">
      <c r="A209" s="136">
        <v>206</v>
      </c>
      <c r="B209" s="524" t="s">
        <v>3178</v>
      </c>
      <c r="C209" s="524" t="s">
        <v>286</v>
      </c>
      <c r="D209" s="524">
        <v>250</v>
      </c>
      <c r="E209" s="555">
        <v>4500</v>
      </c>
      <c r="F209" s="555">
        <v>1125000</v>
      </c>
    </row>
    <row r="210" spans="1:6" ht="15.75">
      <c r="A210" s="136">
        <v>207</v>
      </c>
      <c r="B210" s="523" t="s">
        <v>3220</v>
      </c>
      <c r="C210" s="523" t="s">
        <v>286</v>
      </c>
      <c r="D210" s="523">
        <v>250</v>
      </c>
      <c r="E210" s="556">
        <v>4500</v>
      </c>
      <c r="F210" s="556">
        <v>1125000</v>
      </c>
    </row>
    <row r="211" spans="1:6" ht="15.75">
      <c r="A211" s="136">
        <v>208</v>
      </c>
      <c r="B211" s="524" t="s">
        <v>3221</v>
      </c>
      <c r="C211" s="524" t="s">
        <v>286</v>
      </c>
      <c r="D211" s="524">
        <v>60</v>
      </c>
      <c r="E211" s="555">
        <v>5000</v>
      </c>
      <c r="F211" s="555">
        <v>300000</v>
      </c>
    </row>
    <row r="212" spans="1:6" ht="15.75">
      <c r="A212" s="136">
        <v>209</v>
      </c>
      <c r="B212" s="523" t="s">
        <v>3222</v>
      </c>
      <c r="C212" s="523" t="s">
        <v>286</v>
      </c>
      <c r="D212" s="523">
        <v>70</v>
      </c>
      <c r="E212" s="556">
        <v>2900</v>
      </c>
      <c r="F212" s="556">
        <v>203000</v>
      </c>
    </row>
    <row r="213" spans="1:6" ht="15.75">
      <c r="A213" s="136">
        <v>210</v>
      </c>
      <c r="B213" s="524" t="s">
        <v>3223</v>
      </c>
      <c r="C213" s="524" t="s">
        <v>286</v>
      </c>
      <c r="D213" s="524">
        <v>20</v>
      </c>
      <c r="E213" s="555">
        <v>5000</v>
      </c>
      <c r="F213" s="555">
        <v>100000</v>
      </c>
    </row>
    <row r="214" spans="1:6" ht="15.75">
      <c r="A214" s="136">
        <v>211</v>
      </c>
      <c r="B214" s="523" t="s">
        <v>3224</v>
      </c>
      <c r="C214" s="523" t="s">
        <v>286</v>
      </c>
      <c r="D214" s="523">
        <v>15</v>
      </c>
      <c r="E214" s="556">
        <v>6000</v>
      </c>
      <c r="F214" s="556">
        <v>90000</v>
      </c>
    </row>
    <row r="215" spans="1:6" ht="15.75">
      <c r="A215" s="136">
        <v>212</v>
      </c>
      <c r="B215" s="524" t="s">
        <v>3225</v>
      </c>
      <c r="C215" s="524" t="s">
        <v>286</v>
      </c>
      <c r="D215" s="524">
        <v>140</v>
      </c>
      <c r="E215" s="555">
        <v>5000</v>
      </c>
      <c r="F215" s="555">
        <v>700000</v>
      </c>
    </row>
    <row r="216" spans="1:6" ht="15.75">
      <c r="A216" s="136">
        <v>213</v>
      </c>
      <c r="B216" s="523" t="s">
        <v>3226</v>
      </c>
      <c r="C216" s="523" t="s">
        <v>286</v>
      </c>
      <c r="D216" s="523">
        <v>40</v>
      </c>
      <c r="E216" s="556">
        <v>3000</v>
      </c>
      <c r="F216" s="556">
        <v>120000</v>
      </c>
    </row>
    <row r="217" spans="1:6" ht="15.75">
      <c r="A217" s="136">
        <v>214</v>
      </c>
      <c r="B217" s="524" t="s">
        <v>3227</v>
      </c>
      <c r="C217" s="524" t="s">
        <v>286</v>
      </c>
      <c r="D217" s="524">
        <v>15</v>
      </c>
      <c r="E217" s="555">
        <v>15000</v>
      </c>
      <c r="F217" s="555">
        <v>225000</v>
      </c>
    </row>
    <row r="218" spans="1:6" ht="15.75">
      <c r="A218" s="136">
        <v>215</v>
      </c>
      <c r="B218" s="523" t="s">
        <v>3228</v>
      </c>
      <c r="C218" s="523" t="s">
        <v>286</v>
      </c>
      <c r="D218" s="523">
        <v>30</v>
      </c>
      <c r="E218" s="556">
        <v>10000</v>
      </c>
      <c r="F218" s="556">
        <v>300000</v>
      </c>
    </row>
    <row r="219" spans="1:6" ht="15.75">
      <c r="A219" s="136">
        <v>216</v>
      </c>
      <c r="B219" s="524" t="s">
        <v>3229</v>
      </c>
      <c r="C219" s="524" t="s">
        <v>286</v>
      </c>
      <c r="D219" s="524">
        <v>95</v>
      </c>
      <c r="E219" s="555">
        <v>20000</v>
      </c>
      <c r="F219" s="555">
        <v>1900000</v>
      </c>
    </row>
    <row r="220" spans="1:6" ht="15.75">
      <c r="A220" s="136">
        <v>217</v>
      </c>
      <c r="B220" s="523" t="s">
        <v>3230</v>
      </c>
      <c r="C220" s="523" t="s">
        <v>286</v>
      </c>
      <c r="D220" s="523">
        <v>3</v>
      </c>
      <c r="E220" s="556">
        <v>300000</v>
      </c>
      <c r="F220" s="556">
        <v>900000</v>
      </c>
    </row>
    <row r="221" spans="1:6" ht="15.75">
      <c r="A221" s="136">
        <v>218</v>
      </c>
      <c r="B221" s="524" t="s">
        <v>3231</v>
      </c>
      <c r="C221" s="524" t="s">
        <v>286</v>
      </c>
      <c r="D221" s="524">
        <v>10</v>
      </c>
      <c r="E221" s="555">
        <v>49950</v>
      </c>
      <c r="F221" s="555">
        <v>499500</v>
      </c>
    </row>
    <row r="222" spans="1:6" ht="15.75">
      <c r="A222" s="136">
        <v>219</v>
      </c>
      <c r="B222" s="523" t="s">
        <v>3232</v>
      </c>
      <c r="C222" s="523" t="s">
        <v>286</v>
      </c>
      <c r="D222" s="523">
        <v>50</v>
      </c>
      <c r="E222" s="556">
        <v>4950</v>
      </c>
      <c r="F222" s="556">
        <v>247500</v>
      </c>
    </row>
    <row r="223" spans="1:6" ht="15.75">
      <c r="A223" s="136">
        <v>220</v>
      </c>
      <c r="B223" s="524" t="s">
        <v>3233</v>
      </c>
      <c r="C223" s="524" t="s">
        <v>286</v>
      </c>
      <c r="D223" s="524">
        <v>2</v>
      </c>
      <c r="E223" s="555">
        <v>155000</v>
      </c>
      <c r="F223" s="555">
        <v>310000</v>
      </c>
    </row>
    <row r="224" spans="1:6" ht="15.75">
      <c r="A224" s="136">
        <v>221</v>
      </c>
      <c r="B224" s="523" t="s">
        <v>3234</v>
      </c>
      <c r="C224" s="523" t="s">
        <v>286</v>
      </c>
      <c r="D224" s="523">
        <v>10</v>
      </c>
      <c r="E224" s="556">
        <v>50000</v>
      </c>
      <c r="F224" s="556">
        <v>500000</v>
      </c>
    </row>
    <row r="225" spans="1:6" ht="15.75">
      <c r="A225" s="136">
        <v>222</v>
      </c>
      <c r="B225" s="524" t="s">
        <v>735</v>
      </c>
      <c r="C225" s="524" t="s">
        <v>286</v>
      </c>
      <c r="D225" s="524">
        <v>45</v>
      </c>
      <c r="E225" s="555">
        <v>5000</v>
      </c>
      <c r="F225" s="555">
        <v>225000</v>
      </c>
    </row>
    <row r="226" spans="1:6" ht="15.75">
      <c r="A226" s="136">
        <v>223</v>
      </c>
      <c r="B226" s="523" t="s">
        <v>3081</v>
      </c>
      <c r="C226" s="523" t="s">
        <v>693</v>
      </c>
      <c r="D226" s="523">
        <v>50</v>
      </c>
      <c r="E226" s="556">
        <v>60000</v>
      </c>
      <c r="F226" s="556">
        <v>3000000</v>
      </c>
    </row>
    <row r="227" spans="1:6" ht="15.75">
      <c r="A227" s="136">
        <v>224</v>
      </c>
      <c r="B227" s="524" t="s">
        <v>3235</v>
      </c>
      <c r="C227" s="524" t="s">
        <v>286</v>
      </c>
      <c r="D227" s="524">
        <v>50</v>
      </c>
      <c r="E227" s="555">
        <v>2000</v>
      </c>
      <c r="F227" s="555">
        <v>100000</v>
      </c>
    </row>
    <row r="228" spans="1:6" ht="15.75">
      <c r="A228" s="136">
        <v>225</v>
      </c>
      <c r="B228" s="523" t="s">
        <v>3138</v>
      </c>
      <c r="C228" s="523" t="s">
        <v>286</v>
      </c>
      <c r="D228" s="523">
        <v>50</v>
      </c>
      <c r="E228" s="556">
        <v>2000</v>
      </c>
      <c r="F228" s="556">
        <v>100000</v>
      </c>
    </row>
    <row r="229" spans="1:6" ht="15.75">
      <c r="A229" s="136">
        <v>226</v>
      </c>
      <c r="B229" s="524" t="s">
        <v>3236</v>
      </c>
      <c r="C229" s="524" t="s">
        <v>286</v>
      </c>
      <c r="D229" s="524">
        <v>20</v>
      </c>
      <c r="E229" s="555">
        <v>24200</v>
      </c>
      <c r="F229" s="555">
        <v>484000</v>
      </c>
    </row>
    <row r="230" spans="1:6" ht="15.75">
      <c r="A230" s="136">
        <v>227</v>
      </c>
      <c r="B230" s="523" t="s">
        <v>3237</v>
      </c>
      <c r="C230" s="523" t="s">
        <v>286</v>
      </c>
      <c r="D230" s="523">
        <v>25</v>
      </c>
      <c r="E230" s="556">
        <v>9200</v>
      </c>
      <c r="F230" s="556">
        <v>230000</v>
      </c>
    </row>
    <row r="231" spans="1:6" ht="15.75">
      <c r="A231" s="136">
        <v>228</v>
      </c>
      <c r="B231" s="524" t="s">
        <v>3197</v>
      </c>
      <c r="C231" s="524" t="s">
        <v>286</v>
      </c>
      <c r="D231" s="524">
        <v>50</v>
      </c>
      <c r="E231" s="555">
        <v>3000</v>
      </c>
      <c r="F231" s="555">
        <v>150000</v>
      </c>
    </row>
    <row r="232" spans="1:6" ht="15.75">
      <c r="A232" s="136">
        <v>229</v>
      </c>
      <c r="B232" s="523" t="s">
        <v>3238</v>
      </c>
      <c r="C232" s="523" t="s">
        <v>286</v>
      </c>
      <c r="D232" s="523">
        <v>8</v>
      </c>
      <c r="E232" s="556">
        <v>600000</v>
      </c>
      <c r="F232" s="556">
        <v>4800000</v>
      </c>
    </row>
    <row r="233" spans="1:6" ht="31.5">
      <c r="A233" s="136">
        <v>230</v>
      </c>
      <c r="B233" s="524" t="s">
        <v>3239</v>
      </c>
      <c r="C233" s="524" t="s">
        <v>286</v>
      </c>
      <c r="D233" s="524">
        <v>6</v>
      </c>
      <c r="E233" s="555">
        <v>150000</v>
      </c>
      <c r="F233" s="555">
        <v>900000</v>
      </c>
    </row>
    <row r="234" spans="1:6" ht="31.5">
      <c r="A234" s="136">
        <v>231</v>
      </c>
      <c r="B234" s="523" t="s">
        <v>3240</v>
      </c>
      <c r="C234" s="523" t="s">
        <v>286</v>
      </c>
      <c r="D234" s="523">
        <v>20</v>
      </c>
      <c r="E234" s="556">
        <v>120000</v>
      </c>
      <c r="F234" s="556">
        <v>2400000</v>
      </c>
    </row>
    <row r="235" spans="1:6" ht="31.5">
      <c r="A235" s="136">
        <v>232</v>
      </c>
      <c r="B235" s="524" t="s">
        <v>3241</v>
      </c>
      <c r="C235" s="524" t="s">
        <v>286</v>
      </c>
      <c r="D235" s="524">
        <v>10</v>
      </c>
      <c r="E235" s="555">
        <v>40000</v>
      </c>
      <c r="F235" s="555">
        <v>400000</v>
      </c>
    </row>
    <row r="236" spans="1:6" ht="31.5">
      <c r="A236" s="136">
        <v>233</v>
      </c>
      <c r="B236" s="523" t="s">
        <v>3242</v>
      </c>
      <c r="C236" s="523" t="s">
        <v>1176</v>
      </c>
      <c r="D236" s="523">
        <v>48</v>
      </c>
      <c r="E236" s="556">
        <v>12000</v>
      </c>
      <c r="F236" s="556">
        <v>576000</v>
      </c>
    </row>
    <row r="237" spans="1:6" ht="15.75">
      <c r="A237" s="136">
        <v>234</v>
      </c>
      <c r="B237" s="524" t="s">
        <v>3081</v>
      </c>
      <c r="C237" s="524" t="s">
        <v>693</v>
      </c>
      <c r="D237" s="524">
        <v>25</v>
      </c>
      <c r="E237" s="533">
        <v>55000</v>
      </c>
      <c r="F237" s="555">
        <v>1375000</v>
      </c>
    </row>
    <row r="238" spans="1:6" ht="15.75">
      <c r="A238" s="136">
        <v>235</v>
      </c>
      <c r="B238" s="523" t="s">
        <v>3243</v>
      </c>
      <c r="C238" s="523" t="s">
        <v>286</v>
      </c>
      <c r="D238" s="523">
        <v>15</v>
      </c>
      <c r="E238" s="534">
        <v>40000</v>
      </c>
      <c r="F238" s="556">
        <v>600000</v>
      </c>
    </row>
    <row r="239" spans="1:6" ht="15.75">
      <c r="A239" s="136">
        <v>236</v>
      </c>
      <c r="B239" s="524" t="s">
        <v>3244</v>
      </c>
      <c r="C239" s="524" t="s">
        <v>286</v>
      </c>
      <c r="D239" s="524">
        <v>10</v>
      </c>
      <c r="E239" s="533">
        <v>30000</v>
      </c>
      <c r="F239" s="555">
        <v>300000</v>
      </c>
    </row>
    <row r="240" spans="1:6" ht="31.5">
      <c r="A240" s="136">
        <v>237</v>
      </c>
      <c r="B240" s="523" t="s">
        <v>3245</v>
      </c>
      <c r="C240" s="523" t="s">
        <v>286</v>
      </c>
      <c r="D240" s="523">
        <v>2</v>
      </c>
      <c r="E240" s="534">
        <v>1200000</v>
      </c>
      <c r="F240" s="556">
        <v>2400000</v>
      </c>
    </row>
    <row r="241" spans="1:6" ht="15.75">
      <c r="A241" s="136">
        <v>238</v>
      </c>
      <c r="B241" s="524" t="s">
        <v>3246</v>
      </c>
      <c r="C241" s="524" t="s">
        <v>286</v>
      </c>
      <c r="D241" s="524">
        <v>8</v>
      </c>
      <c r="E241" s="533">
        <v>25000</v>
      </c>
      <c r="F241" s="555">
        <v>200000</v>
      </c>
    </row>
    <row r="242" spans="1:6" ht="15.75">
      <c r="A242" s="136">
        <v>239</v>
      </c>
      <c r="B242" s="523" t="s">
        <v>3247</v>
      </c>
      <c r="C242" s="523" t="s">
        <v>286</v>
      </c>
      <c r="D242" s="523">
        <v>10</v>
      </c>
      <c r="E242" s="534">
        <v>61000</v>
      </c>
      <c r="F242" s="556">
        <v>610000</v>
      </c>
    </row>
    <row r="243" spans="1:6" ht="15.75">
      <c r="A243" s="136">
        <v>240</v>
      </c>
      <c r="B243" s="524" t="s">
        <v>3248</v>
      </c>
      <c r="C243" s="524" t="s">
        <v>286</v>
      </c>
      <c r="D243" s="524">
        <v>10</v>
      </c>
      <c r="E243" s="533">
        <v>50000</v>
      </c>
      <c r="F243" s="555">
        <v>500000</v>
      </c>
    </row>
    <row r="244" spans="1:6" ht="31.5">
      <c r="A244" s="136">
        <v>241</v>
      </c>
      <c r="B244" s="523" t="s">
        <v>3249</v>
      </c>
      <c r="C244" s="523" t="s">
        <v>286</v>
      </c>
      <c r="D244" s="523">
        <v>5</v>
      </c>
      <c r="E244" s="534">
        <v>22000</v>
      </c>
      <c r="F244" s="556">
        <v>110000</v>
      </c>
    </row>
    <row r="245" spans="1:6" ht="15.75">
      <c r="A245" s="136">
        <v>242</v>
      </c>
      <c r="B245" s="524" t="s">
        <v>3250</v>
      </c>
      <c r="C245" s="524" t="s">
        <v>286</v>
      </c>
      <c r="D245" s="524">
        <v>10</v>
      </c>
      <c r="E245" s="533">
        <v>32000</v>
      </c>
      <c r="F245" s="555">
        <v>320000</v>
      </c>
    </row>
    <row r="246" spans="1:6" ht="15.75">
      <c r="A246" s="136">
        <v>243</v>
      </c>
      <c r="B246" s="523" t="s">
        <v>3251</v>
      </c>
      <c r="C246" s="523" t="s">
        <v>286</v>
      </c>
      <c r="D246" s="523">
        <v>10</v>
      </c>
      <c r="E246" s="534">
        <v>15000</v>
      </c>
      <c r="F246" s="556">
        <v>150000</v>
      </c>
    </row>
    <row r="247" spans="1:6" ht="15.75">
      <c r="A247" s="136">
        <v>244</v>
      </c>
      <c r="B247" s="524" t="s">
        <v>3252</v>
      </c>
      <c r="C247" s="524" t="s">
        <v>286</v>
      </c>
      <c r="D247" s="524">
        <v>10</v>
      </c>
      <c r="E247" s="533">
        <v>40000</v>
      </c>
      <c r="F247" s="555">
        <v>400000</v>
      </c>
    </row>
    <row r="248" spans="1:6" ht="15.75">
      <c r="A248" s="136">
        <v>245</v>
      </c>
      <c r="B248" s="523" t="s">
        <v>3171</v>
      </c>
      <c r="C248" s="523" t="s">
        <v>286</v>
      </c>
      <c r="D248" s="523">
        <v>200</v>
      </c>
      <c r="E248" s="534">
        <v>4000</v>
      </c>
      <c r="F248" s="556">
        <v>800000</v>
      </c>
    </row>
    <row r="249" spans="1:6" ht="15.75">
      <c r="A249" s="136">
        <v>246</v>
      </c>
      <c r="B249" s="524" t="s">
        <v>3253</v>
      </c>
      <c r="C249" s="524" t="s">
        <v>27</v>
      </c>
      <c r="D249" s="524">
        <v>10</v>
      </c>
      <c r="E249" s="533">
        <v>35000</v>
      </c>
      <c r="F249" s="555">
        <v>350000</v>
      </c>
    </row>
    <row r="250" spans="1:6" ht="15.75">
      <c r="A250" s="136">
        <v>247</v>
      </c>
      <c r="B250" s="523" t="s">
        <v>3254</v>
      </c>
      <c r="C250" s="523" t="s">
        <v>693</v>
      </c>
      <c r="D250" s="562">
        <v>70</v>
      </c>
      <c r="E250" s="562">
        <v>55000</v>
      </c>
      <c r="F250" s="556">
        <v>3850000</v>
      </c>
    </row>
    <row r="251" spans="1:6" ht="15.75">
      <c r="A251" s="136">
        <v>248</v>
      </c>
      <c r="B251" s="524" t="s">
        <v>3197</v>
      </c>
      <c r="C251" s="524" t="s">
        <v>286</v>
      </c>
      <c r="D251" s="563">
        <v>400</v>
      </c>
      <c r="E251" s="563">
        <v>3500</v>
      </c>
      <c r="F251" s="555">
        <v>1400000</v>
      </c>
    </row>
    <row r="252" spans="1:6" ht="15.75">
      <c r="A252" s="136">
        <v>249</v>
      </c>
      <c r="B252" s="523" t="s">
        <v>3255</v>
      </c>
      <c r="C252" s="523" t="s">
        <v>286</v>
      </c>
      <c r="D252" s="562">
        <v>10</v>
      </c>
      <c r="E252" s="562">
        <v>37000</v>
      </c>
      <c r="F252" s="556">
        <v>370000</v>
      </c>
    </row>
    <row r="253" spans="1:6" ht="15.75">
      <c r="A253" s="136">
        <v>250</v>
      </c>
      <c r="B253" s="524" t="s">
        <v>3256</v>
      </c>
      <c r="C253" s="524" t="s">
        <v>286</v>
      </c>
      <c r="D253" s="563">
        <v>100</v>
      </c>
      <c r="E253" s="563">
        <v>6000</v>
      </c>
      <c r="F253" s="555">
        <v>600000</v>
      </c>
    </row>
    <row r="254" spans="1:6" ht="15.75">
      <c r="A254" s="136">
        <v>251</v>
      </c>
      <c r="B254" s="523" t="s">
        <v>3081</v>
      </c>
      <c r="C254" s="549" t="s">
        <v>693</v>
      </c>
      <c r="D254" s="523">
        <v>50</v>
      </c>
      <c r="E254" s="534">
        <v>55000</v>
      </c>
      <c r="F254" s="556">
        <v>2750000</v>
      </c>
    </row>
    <row r="255" spans="1:6" ht="15.75">
      <c r="A255" s="136">
        <v>252</v>
      </c>
      <c r="B255" s="543" t="s">
        <v>3192</v>
      </c>
      <c r="C255" s="543" t="s">
        <v>286</v>
      </c>
      <c r="D255" s="543">
        <v>100</v>
      </c>
      <c r="E255" s="543">
        <v>5000</v>
      </c>
      <c r="F255" s="555">
        <v>500000</v>
      </c>
    </row>
    <row r="256" spans="1:6" ht="15.75">
      <c r="A256" s="136">
        <v>253</v>
      </c>
      <c r="B256" s="523" t="s">
        <v>3081</v>
      </c>
      <c r="C256" s="549" t="s">
        <v>693</v>
      </c>
      <c r="D256" s="523">
        <v>50</v>
      </c>
      <c r="E256" s="534">
        <v>60000</v>
      </c>
      <c r="F256" s="556">
        <v>3000000</v>
      </c>
    </row>
    <row r="257" spans="1:6" ht="15.75">
      <c r="A257" s="136">
        <v>254</v>
      </c>
      <c r="B257" s="524" t="s">
        <v>3257</v>
      </c>
      <c r="C257" s="543" t="s">
        <v>286</v>
      </c>
      <c r="D257" s="524">
        <v>40</v>
      </c>
      <c r="E257" s="533">
        <v>12000</v>
      </c>
      <c r="F257" s="555">
        <v>480000</v>
      </c>
    </row>
    <row r="258" spans="1:6" ht="15.75">
      <c r="A258" s="136">
        <v>255</v>
      </c>
      <c r="B258" s="535" t="s">
        <v>3258</v>
      </c>
      <c r="C258" s="549" t="s">
        <v>286</v>
      </c>
      <c r="D258" s="549">
        <v>40</v>
      </c>
      <c r="E258" s="553">
        <v>10000</v>
      </c>
      <c r="F258" s="556">
        <v>400000</v>
      </c>
    </row>
    <row r="259" spans="1:6" ht="15.75">
      <c r="A259" s="136">
        <v>256</v>
      </c>
      <c r="B259" s="536" t="s">
        <v>3138</v>
      </c>
      <c r="C259" s="543" t="s">
        <v>286</v>
      </c>
      <c r="D259" s="524">
        <v>60</v>
      </c>
      <c r="E259" s="554">
        <v>3000</v>
      </c>
      <c r="F259" s="555">
        <v>180000</v>
      </c>
    </row>
    <row r="260" spans="1:6" ht="15.75">
      <c r="A260" s="136">
        <v>257</v>
      </c>
      <c r="B260" s="535" t="s">
        <v>3138</v>
      </c>
      <c r="C260" s="549" t="s">
        <v>286</v>
      </c>
      <c r="D260" s="549">
        <v>60</v>
      </c>
      <c r="E260" s="553">
        <v>3000</v>
      </c>
      <c r="F260" s="556">
        <v>180000</v>
      </c>
    </row>
    <row r="261" spans="1:6" ht="15.75">
      <c r="A261" s="136">
        <v>258</v>
      </c>
      <c r="B261" s="536" t="s">
        <v>3197</v>
      </c>
      <c r="C261" s="543" t="s">
        <v>286</v>
      </c>
      <c r="D261" s="543">
        <v>500</v>
      </c>
      <c r="E261" s="554">
        <v>3000</v>
      </c>
      <c r="F261" s="555">
        <v>1500000</v>
      </c>
    </row>
    <row r="262" spans="1:6" ht="15.75">
      <c r="A262" s="136">
        <v>259</v>
      </c>
      <c r="B262" s="545" t="s">
        <v>3259</v>
      </c>
      <c r="C262" s="549" t="s">
        <v>286</v>
      </c>
      <c r="D262" s="545">
        <v>100</v>
      </c>
      <c r="E262" s="525">
        <v>5000</v>
      </c>
      <c r="F262" s="556">
        <v>500000</v>
      </c>
    </row>
    <row r="263" spans="1:6" ht="15.75">
      <c r="A263" s="136">
        <v>260</v>
      </c>
      <c r="B263" s="547" t="s">
        <v>3164</v>
      </c>
      <c r="C263" s="547" t="s">
        <v>286</v>
      </c>
      <c r="D263" s="547">
        <v>350</v>
      </c>
      <c r="E263" s="564">
        <v>4500</v>
      </c>
      <c r="F263" s="555">
        <v>1575000</v>
      </c>
    </row>
    <row r="264" spans="1:6" ht="15.75">
      <c r="A264" s="136">
        <v>261</v>
      </c>
      <c r="B264" s="545" t="s">
        <v>3165</v>
      </c>
      <c r="C264" s="545" t="s">
        <v>286</v>
      </c>
      <c r="D264" s="545">
        <v>350</v>
      </c>
      <c r="E264" s="565">
        <v>4500</v>
      </c>
      <c r="F264" s="556">
        <v>1575000</v>
      </c>
    </row>
    <row r="265" spans="1:6" ht="15.75">
      <c r="A265" s="136">
        <v>262</v>
      </c>
      <c r="B265" s="547" t="s">
        <v>3166</v>
      </c>
      <c r="C265" s="547" t="s">
        <v>286</v>
      </c>
      <c r="D265" s="547">
        <v>350</v>
      </c>
      <c r="E265" s="564">
        <v>4500</v>
      </c>
      <c r="F265" s="555">
        <v>1575000</v>
      </c>
    </row>
    <row r="266" spans="1:6" ht="15.75">
      <c r="A266" s="136">
        <v>263</v>
      </c>
      <c r="B266" s="545" t="s">
        <v>3260</v>
      </c>
      <c r="C266" s="545" t="s">
        <v>286</v>
      </c>
      <c r="D266" s="566">
        <v>20</v>
      </c>
      <c r="E266" s="567">
        <v>25000</v>
      </c>
      <c r="F266" s="556">
        <v>500000</v>
      </c>
    </row>
    <row r="267" spans="1:6" ht="15.75">
      <c r="A267" s="136">
        <v>264</v>
      </c>
      <c r="B267" s="539" t="s">
        <v>3261</v>
      </c>
      <c r="C267" s="547" t="s">
        <v>286</v>
      </c>
      <c r="D267" s="568">
        <v>500</v>
      </c>
      <c r="E267" s="569">
        <v>2500</v>
      </c>
      <c r="F267" s="555">
        <v>1250000</v>
      </c>
    </row>
    <row r="268" spans="1:6" ht="15.75">
      <c r="A268" s="136">
        <v>265</v>
      </c>
      <c r="B268" s="549" t="s">
        <v>3262</v>
      </c>
      <c r="C268" s="523" t="s">
        <v>27</v>
      </c>
      <c r="D268" s="523">
        <v>50</v>
      </c>
      <c r="E268" s="534">
        <v>40000</v>
      </c>
      <c r="F268" s="556">
        <v>2000000</v>
      </c>
    </row>
    <row r="269" spans="1:6" ht="31.5">
      <c r="A269" s="136">
        <v>266</v>
      </c>
      <c r="B269" s="547" t="s">
        <v>3263</v>
      </c>
      <c r="C269" s="547" t="s">
        <v>286</v>
      </c>
      <c r="D269" s="547">
        <v>30</v>
      </c>
      <c r="E269" s="548">
        <v>12000</v>
      </c>
      <c r="F269" s="555">
        <v>360000</v>
      </c>
    </row>
    <row r="270" spans="1:6" ht="15.75">
      <c r="A270" s="136">
        <v>267</v>
      </c>
      <c r="B270" s="570" t="s">
        <v>3264</v>
      </c>
      <c r="C270" s="523" t="s">
        <v>278</v>
      </c>
      <c r="D270" s="571">
        <v>45</v>
      </c>
      <c r="E270" s="572">
        <v>55000</v>
      </c>
      <c r="F270" s="556">
        <v>2475000</v>
      </c>
    </row>
    <row r="271" spans="1:6" ht="15.75">
      <c r="A271" s="136">
        <v>268</v>
      </c>
      <c r="B271" s="547" t="s">
        <v>3264</v>
      </c>
      <c r="C271" s="543" t="s">
        <v>278</v>
      </c>
      <c r="D271" s="568">
        <v>40</v>
      </c>
      <c r="E271" s="569">
        <v>55000</v>
      </c>
      <c r="F271" s="555">
        <v>2200000</v>
      </c>
    </row>
    <row r="272" spans="1:6" ht="15.75">
      <c r="A272" s="136">
        <v>269</v>
      </c>
      <c r="B272" s="545" t="s">
        <v>3265</v>
      </c>
      <c r="C272" s="549" t="s">
        <v>278</v>
      </c>
      <c r="D272" s="573">
        <v>10</v>
      </c>
      <c r="E272" s="574">
        <v>95000</v>
      </c>
      <c r="F272" s="556">
        <v>950000</v>
      </c>
    </row>
    <row r="273" spans="1:6" ht="31.5">
      <c r="A273" s="136">
        <v>270</v>
      </c>
      <c r="B273" s="547" t="s">
        <v>3266</v>
      </c>
      <c r="C273" s="547" t="s">
        <v>286</v>
      </c>
      <c r="D273" s="568">
        <v>100</v>
      </c>
      <c r="E273" s="569">
        <v>2000</v>
      </c>
      <c r="F273" s="555">
        <v>200000</v>
      </c>
    </row>
    <row r="274" spans="1:6" ht="15.75">
      <c r="A274" s="136">
        <v>271</v>
      </c>
      <c r="B274" s="549" t="s">
        <v>3267</v>
      </c>
      <c r="C274" s="549" t="s">
        <v>278</v>
      </c>
      <c r="D274" s="549">
        <v>5</v>
      </c>
      <c r="E274" s="575">
        <v>70000</v>
      </c>
      <c r="F274" s="556">
        <v>350000</v>
      </c>
    </row>
    <row r="275" spans="1:6" ht="15.75">
      <c r="A275" s="136">
        <v>272</v>
      </c>
      <c r="B275" s="543" t="s">
        <v>3268</v>
      </c>
      <c r="C275" s="547" t="s">
        <v>286</v>
      </c>
      <c r="D275" s="547">
        <v>500</v>
      </c>
      <c r="E275" s="564">
        <v>3500</v>
      </c>
      <c r="F275" s="555">
        <v>1750000</v>
      </c>
    </row>
    <row r="276" spans="1:6" ht="15.75">
      <c r="A276" s="136">
        <v>273</v>
      </c>
      <c r="B276" s="545" t="s">
        <v>3269</v>
      </c>
      <c r="C276" s="545" t="s">
        <v>286</v>
      </c>
      <c r="D276" s="545">
        <v>30</v>
      </c>
      <c r="E276" s="565">
        <v>15000</v>
      </c>
      <c r="F276" s="556">
        <v>450000</v>
      </c>
    </row>
    <row r="277" spans="1:6" ht="31.5">
      <c r="A277" s="136">
        <v>274</v>
      </c>
      <c r="B277" s="547" t="s">
        <v>3270</v>
      </c>
      <c r="C277" s="547" t="s">
        <v>286</v>
      </c>
      <c r="D277" s="547">
        <v>90</v>
      </c>
      <c r="E277" s="564">
        <v>15000</v>
      </c>
      <c r="F277" s="555">
        <v>1350000</v>
      </c>
    </row>
    <row r="278" spans="1:6" ht="15.75">
      <c r="A278" s="136">
        <v>275</v>
      </c>
      <c r="B278" s="545" t="s">
        <v>3271</v>
      </c>
      <c r="C278" s="545" t="s">
        <v>286</v>
      </c>
      <c r="D278" s="545">
        <v>10</v>
      </c>
      <c r="E278" s="565">
        <v>10000</v>
      </c>
      <c r="F278" s="556">
        <v>100000</v>
      </c>
    </row>
    <row r="279" spans="1:6" ht="15.75">
      <c r="A279" s="136">
        <v>276</v>
      </c>
      <c r="B279" s="526" t="s">
        <v>3272</v>
      </c>
      <c r="C279" s="547" t="s">
        <v>286</v>
      </c>
      <c r="D279" s="576">
        <v>200</v>
      </c>
      <c r="E279" s="564">
        <v>1600</v>
      </c>
      <c r="F279" s="555">
        <v>320000</v>
      </c>
    </row>
    <row r="280" spans="1:6" ht="15.75">
      <c r="A280" s="136">
        <v>277</v>
      </c>
      <c r="B280" s="545" t="s">
        <v>3264</v>
      </c>
      <c r="C280" s="549" t="s">
        <v>278</v>
      </c>
      <c r="D280" s="566">
        <v>60</v>
      </c>
      <c r="E280" s="567">
        <v>55000</v>
      </c>
      <c r="F280" s="556">
        <v>3300000</v>
      </c>
    </row>
    <row r="281" spans="1:6" ht="15.75">
      <c r="A281" s="136">
        <v>278</v>
      </c>
      <c r="B281" s="526" t="s">
        <v>3272</v>
      </c>
      <c r="C281" s="547" t="s">
        <v>286</v>
      </c>
      <c r="D281" s="576">
        <v>200</v>
      </c>
      <c r="E281" s="564">
        <v>1600</v>
      </c>
      <c r="F281" s="555">
        <v>320000</v>
      </c>
    </row>
    <row r="282" spans="1:6" ht="31.5">
      <c r="A282" s="136">
        <v>279</v>
      </c>
      <c r="B282" s="527" t="s">
        <v>3273</v>
      </c>
      <c r="C282" s="545" t="s">
        <v>286</v>
      </c>
      <c r="D282" s="577">
        <v>400</v>
      </c>
      <c r="E282" s="565">
        <v>9000</v>
      </c>
      <c r="F282" s="556">
        <v>3600000</v>
      </c>
    </row>
    <row r="283" spans="1:6" ht="15.75">
      <c r="A283" s="136">
        <v>280</v>
      </c>
      <c r="B283" s="547" t="s">
        <v>3160</v>
      </c>
      <c r="C283" s="578" t="s">
        <v>791</v>
      </c>
      <c r="D283" s="548">
        <v>100</v>
      </c>
      <c r="E283" s="528">
        <v>55000</v>
      </c>
      <c r="F283" s="528">
        <v>5500000</v>
      </c>
    </row>
    <row r="284" spans="1:6" ht="31.5">
      <c r="A284" s="136">
        <v>281</v>
      </c>
      <c r="B284" s="545" t="s">
        <v>3162</v>
      </c>
      <c r="C284" s="545" t="s">
        <v>286</v>
      </c>
      <c r="D284" s="546">
        <v>100</v>
      </c>
      <c r="E284" s="525">
        <v>8000</v>
      </c>
      <c r="F284" s="525">
        <v>800000</v>
      </c>
    </row>
    <row r="285" spans="1:6" ht="15.75">
      <c r="A285" s="136">
        <v>282</v>
      </c>
      <c r="B285" s="547" t="s">
        <v>3164</v>
      </c>
      <c r="C285" s="547" t="s">
        <v>286</v>
      </c>
      <c r="D285" s="547">
        <v>600</v>
      </c>
      <c r="E285" s="528">
        <v>4000</v>
      </c>
      <c r="F285" s="528">
        <v>2400000</v>
      </c>
    </row>
    <row r="286" spans="1:6" ht="15.75">
      <c r="A286" s="136">
        <v>283</v>
      </c>
      <c r="B286" s="545" t="s">
        <v>3165</v>
      </c>
      <c r="C286" s="545" t="s">
        <v>286</v>
      </c>
      <c r="D286" s="545">
        <v>600</v>
      </c>
      <c r="E286" s="525">
        <v>4000</v>
      </c>
      <c r="F286" s="525">
        <v>2400000</v>
      </c>
    </row>
    <row r="287" spans="1:6" ht="15.75">
      <c r="A287" s="136">
        <v>284</v>
      </c>
      <c r="B287" s="547" t="s">
        <v>3166</v>
      </c>
      <c r="C287" s="547" t="s">
        <v>286</v>
      </c>
      <c r="D287" s="547">
        <v>600</v>
      </c>
      <c r="E287" s="528">
        <v>4000</v>
      </c>
      <c r="F287" s="528">
        <v>2400000</v>
      </c>
    </row>
    <row r="288" spans="1:6" ht="15.75">
      <c r="A288" s="136">
        <v>285</v>
      </c>
      <c r="B288" s="545" t="s">
        <v>3274</v>
      </c>
      <c r="C288" s="579" t="s">
        <v>791</v>
      </c>
      <c r="D288" s="573">
        <v>15</v>
      </c>
      <c r="E288" s="525">
        <v>30000</v>
      </c>
      <c r="F288" s="525">
        <v>450000</v>
      </c>
    </row>
    <row r="289" spans="1:6" ht="15.75">
      <c r="A289" s="136">
        <v>286</v>
      </c>
      <c r="B289" s="547" t="s">
        <v>3275</v>
      </c>
      <c r="C289" s="547" t="s">
        <v>286</v>
      </c>
      <c r="D289" s="548">
        <v>100</v>
      </c>
      <c r="E289" s="528">
        <v>4000</v>
      </c>
      <c r="F289" s="528">
        <v>400000</v>
      </c>
    </row>
    <row r="290" spans="1:6" ht="15.75">
      <c r="A290" s="136">
        <v>287</v>
      </c>
      <c r="B290" s="545" t="s">
        <v>3276</v>
      </c>
      <c r="C290" s="545" t="s">
        <v>286</v>
      </c>
      <c r="D290" s="545">
        <v>30</v>
      </c>
      <c r="E290" s="527">
        <v>30000</v>
      </c>
      <c r="F290" s="525">
        <v>900000</v>
      </c>
    </row>
    <row r="291" spans="1:6" ht="15.75">
      <c r="A291" s="136">
        <v>288</v>
      </c>
      <c r="B291" s="543" t="s">
        <v>3173</v>
      </c>
      <c r="C291" s="578" t="s">
        <v>286</v>
      </c>
      <c r="D291" s="551">
        <v>40</v>
      </c>
      <c r="E291" s="551">
        <v>50000</v>
      </c>
      <c r="F291" s="532">
        <v>2000000</v>
      </c>
    </row>
    <row r="292" spans="1:6" ht="15.75">
      <c r="A292" s="136">
        <v>289</v>
      </c>
      <c r="B292" s="549" t="s">
        <v>641</v>
      </c>
      <c r="C292" s="579" t="s">
        <v>286</v>
      </c>
      <c r="D292" s="550">
        <v>25</v>
      </c>
      <c r="E292" s="550">
        <v>15000</v>
      </c>
      <c r="F292" s="531">
        <v>375000</v>
      </c>
    </row>
    <row r="293" spans="1:6" ht="15.75">
      <c r="A293" s="136">
        <v>290</v>
      </c>
      <c r="B293" s="543" t="s">
        <v>3277</v>
      </c>
      <c r="C293" s="578" t="s">
        <v>693</v>
      </c>
      <c r="D293" s="551">
        <v>1</v>
      </c>
      <c r="E293" s="551">
        <v>140000</v>
      </c>
      <c r="F293" s="532">
        <v>140000</v>
      </c>
    </row>
    <row r="294" spans="1:6" ht="15.75">
      <c r="A294" s="136">
        <v>291</v>
      </c>
      <c r="B294" s="549" t="s">
        <v>3278</v>
      </c>
      <c r="C294" s="579" t="s">
        <v>693</v>
      </c>
      <c r="D294" s="550">
        <v>1</v>
      </c>
      <c r="E294" s="550">
        <v>140000</v>
      </c>
      <c r="F294" s="531">
        <v>140000</v>
      </c>
    </row>
    <row r="295" spans="1:6" ht="15.75">
      <c r="A295" s="136">
        <v>292</v>
      </c>
      <c r="B295" s="543" t="s">
        <v>3279</v>
      </c>
      <c r="C295" s="578" t="s">
        <v>693</v>
      </c>
      <c r="D295" s="551">
        <v>1</v>
      </c>
      <c r="E295" s="551">
        <v>120000</v>
      </c>
      <c r="F295" s="532">
        <v>120000</v>
      </c>
    </row>
    <row r="296" spans="1:6" ht="15.75">
      <c r="A296" s="136">
        <v>293</v>
      </c>
      <c r="B296" s="549" t="s">
        <v>3279</v>
      </c>
      <c r="C296" s="579" t="s">
        <v>693</v>
      </c>
      <c r="D296" s="550">
        <v>1</v>
      </c>
      <c r="E296" s="550">
        <v>140000</v>
      </c>
      <c r="F296" s="531">
        <v>140000</v>
      </c>
    </row>
    <row r="297" spans="1:6" ht="15.75">
      <c r="A297" s="136">
        <v>294</v>
      </c>
      <c r="B297" s="543" t="s">
        <v>3096</v>
      </c>
      <c r="C297" s="578" t="s">
        <v>286</v>
      </c>
      <c r="D297" s="551">
        <v>50</v>
      </c>
      <c r="E297" s="551">
        <v>4000</v>
      </c>
      <c r="F297" s="532">
        <v>200000</v>
      </c>
    </row>
    <row r="298" spans="1:6" ht="15.75">
      <c r="A298" s="136">
        <v>295</v>
      </c>
      <c r="B298" s="549" t="s">
        <v>3280</v>
      </c>
      <c r="C298" s="579" t="s">
        <v>286</v>
      </c>
      <c r="D298" s="550">
        <v>10</v>
      </c>
      <c r="E298" s="550">
        <v>15000</v>
      </c>
      <c r="F298" s="531">
        <v>150000</v>
      </c>
    </row>
    <row r="299" spans="1:6" ht="15.75">
      <c r="A299" s="136">
        <v>296</v>
      </c>
      <c r="B299" s="543" t="s">
        <v>3171</v>
      </c>
      <c r="C299" s="578" t="s">
        <v>286</v>
      </c>
      <c r="D299" s="551">
        <v>300</v>
      </c>
      <c r="E299" s="551">
        <v>4000</v>
      </c>
      <c r="F299" s="532">
        <v>1200000</v>
      </c>
    </row>
    <row r="300" spans="1:6">
      <c r="A300" s="208"/>
      <c r="B300" s="1255" t="s">
        <v>3284</v>
      </c>
      <c r="C300" s="1255"/>
      <c r="D300" s="1255"/>
      <c r="E300" s="1255"/>
      <c r="F300" s="1255"/>
    </row>
    <row r="301" spans="1:6" ht="15.75">
      <c r="A301" s="655">
        <v>1</v>
      </c>
      <c r="B301" s="545" t="s">
        <v>3285</v>
      </c>
      <c r="C301" s="545" t="s">
        <v>314</v>
      </c>
      <c r="D301" s="545">
        <v>50</v>
      </c>
      <c r="E301" s="527">
        <v>8000</v>
      </c>
      <c r="F301" s="556">
        <v>400000</v>
      </c>
    </row>
    <row r="302" spans="1:6" ht="15.75">
      <c r="A302" s="655">
        <v>2</v>
      </c>
      <c r="B302" s="547" t="s">
        <v>3286</v>
      </c>
      <c r="C302" s="547" t="s">
        <v>286</v>
      </c>
      <c r="D302" s="547">
        <v>500</v>
      </c>
      <c r="E302" s="526">
        <v>3000</v>
      </c>
      <c r="F302" s="555">
        <v>1500000</v>
      </c>
    </row>
    <row r="303" spans="1:6" ht="15.75">
      <c r="A303" s="655">
        <v>3</v>
      </c>
      <c r="B303" s="523" t="s">
        <v>3287</v>
      </c>
      <c r="C303" s="523" t="s">
        <v>27</v>
      </c>
      <c r="D303" s="534">
        <v>5</v>
      </c>
      <c r="E303" s="527">
        <v>12000</v>
      </c>
      <c r="F303" s="556">
        <v>60000</v>
      </c>
    </row>
    <row r="304" spans="1:6" ht="15.75">
      <c r="A304" s="655">
        <v>4</v>
      </c>
      <c r="B304" s="524" t="s">
        <v>3288</v>
      </c>
      <c r="C304" s="524" t="s">
        <v>286</v>
      </c>
      <c r="D304" s="524">
        <v>5</v>
      </c>
      <c r="E304" s="533">
        <v>50000</v>
      </c>
      <c r="F304" s="555">
        <v>250000</v>
      </c>
    </row>
    <row r="305" spans="1:6" ht="15.75">
      <c r="A305" s="655">
        <v>5</v>
      </c>
      <c r="B305" s="523" t="s">
        <v>3289</v>
      </c>
      <c r="C305" s="523" t="s">
        <v>286</v>
      </c>
      <c r="D305" s="523">
        <v>2</v>
      </c>
      <c r="E305" s="534">
        <v>30000</v>
      </c>
      <c r="F305" s="556">
        <v>60000</v>
      </c>
    </row>
    <row r="306" spans="1:6" ht="15.75">
      <c r="A306" s="655">
        <v>6</v>
      </c>
      <c r="B306" s="524" t="s">
        <v>3290</v>
      </c>
      <c r="C306" s="524" t="s">
        <v>286</v>
      </c>
      <c r="D306" s="524">
        <v>6</v>
      </c>
      <c r="E306" s="533">
        <v>15000</v>
      </c>
      <c r="F306" s="555">
        <v>90000</v>
      </c>
    </row>
    <row r="307" spans="1:6" ht="15.75">
      <c r="A307" s="655">
        <v>7</v>
      </c>
      <c r="B307" s="523" t="s">
        <v>3291</v>
      </c>
      <c r="C307" s="523" t="s">
        <v>286</v>
      </c>
      <c r="D307" s="523">
        <v>2</v>
      </c>
      <c r="E307" s="534">
        <v>35000</v>
      </c>
      <c r="F307" s="556">
        <v>70000</v>
      </c>
    </row>
    <row r="308" spans="1:6" ht="15.75">
      <c r="A308" s="655">
        <v>8</v>
      </c>
      <c r="B308" s="524" t="s">
        <v>3292</v>
      </c>
      <c r="C308" s="524" t="s">
        <v>286</v>
      </c>
      <c r="D308" s="524">
        <v>2</v>
      </c>
      <c r="E308" s="533">
        <v>10000</v>
      </c>
      <c r="F308" s="555">
        <v>20000</v>
      </c>
    </row>
    <row r="309" spans="1:6" ht="15.75">
      <c r="A309" s="655">
        <v>9</v>
      </c>
      <c r="B309" s="523" t="s">
        <v>3293</v>
      </c>
      <c r="C309" s="537" t="s">
        <v>286</v>
      </c>
      <c r="D309" s="537">
        <v>2</v>
      </c>
      <c r="E309" s="580">
        <v>50000</v>
      </c>
      <c r="F309" s="556">
        <v>100000</v>
      </c>
    </row>
    <row r="310" spans="1:6" ht="15.75">
      <c r="A310" s="655">
        <v>10</v>
      </c>
      <c r="B310" s="524" t="s">
        <v>3294</v>
      </c>
      <c r="C310" s="524" t="s">
        <v>286</v>
      </c>
      <c r="D310" s="539">
        <v>40</v>
      </c>
      <c r="E310" s="540">
        <v>230000</v>
      </c>
      <c r="F310" s="555">
        <v>9200000</v>
      </c>
    </row>
    <row r="311" spans="1:6" ht="15.75">
      <c r="A311" s="655">
        <v>11</v>
      </c>
      <c r="B311" s="523" t="s">
        <v>3295</v>
      </c>
      <c r="C311" s="523" t="s">
        <v>286</v>
      </c>
      <c r="D311" s="537">
        <v>40</v>
      </c>
      <c r="E311" s="538">
        <v>72000</v>
      </c>
      <c r="F311" s="556">
        <v>2880000</v>
      </c>
    </row>
    <row r="312" spans="1:6" ht="15.75">
      <c r="A312" s="655">
        <v>12</v>
      </c>
      <c r="B312" s="528" t="s">
        <v>3296</v>
      </c>
      <c r="C312" s="524" t="s">
        <v>286</v>
      </c>
      <c r="D312" s="539">
        <v>40</v>
      </c>
      <c r="E312" s="540">
        <v>125000</v>
      </c>
      <c r="F312" s="555">
        <v>5000000</v>
      </c>
    </row>
    <row r="313" spans="1:6" ht="15.75">
      <c r="A313" s="655">
        <v>13</v>
      </c>
      <c r="B313" s="523" t="s">
        <v>3297</v>
      </c>
      <c r="C313" s="523" t="s">
        <v>286</v>
      </c>
      <c r="D313" s="537">
        <v>40</v>
      </c>
      <c r="E313" s="538">
        <v>100000</v>
      </c>
      <c r="F313" s="556">
        <v>4000000</v>
      </c>
    </row>
    <row r="314" spans="1:6" ht="15.75">
      <c r="A314" s="655">
        <v>14</v>
      </c>
      <c r="B314" s="524" t="s">
        <v>3112</v>
      </c>
      <c r="C314" s="524" t="s">
        <v>286</v>
      </c>
      <c r="D314" s="524">
        <v>400</v>
      </c>
      <c r="E314" s="533">
        <v>3700</v>
      </c>
      <c r="F314" s="555">
        <v>1480000</v>
      </c>
    </row>
    <row r="315" spans="1:6" ht="15.75">
      <c r="A315" s="655">
        <v>15</v>
      </c>
      <c r="B315" s="523" t="s">
        <v>3298</v>
      </c>
      <c r="C315" s="523" t="s">
        <v>27</v>
      </c>
      <c r="D315" s="523">
        <v>60</v>
      </c>
      <c r="E315" s="534">
        <v>30000</v>
      </c>
      <c r="F315" s="556">
        <v>1800000</v>
      </c>
    </row>
    <row r="316" spans="1:6" ht="15.75">
      <c r="A316" s="655">
        <v>16</v>
      </c>
      <c r="B316" s="543" t="s">
        <v>3171</v>
      </c>
      <c r="C316" s="543" t="s">
        <v>286</v>
      </c>
      <c r="D316" s="543">
        <v>300</v>
      </c>
      <c r="E316" s="544">
        <v>6000</v>
      </c>
      <c r="F316" s="555">
        <v>1800000</v>
      </c>
    </row>
    <row r="317" spans="1:6" ht="15.75">
      <c r="A317" s="655">
        <v>17</v>
      </c>
      <c r="B317" s="549" t="s">
        <v>3299</v>
      </c>
      <c r="C317" s="549" t="s">
        <v>27</v>
      </c>
      <c r="D317" s="549">
        <v>15</v>
      </c>
      <c r="E317" s="581">
        <v>8300</v>
      </c>
      <c r="F317" s="556">
        <v>124500</v>
      </c>
    </row>
    <row r="318" spans="1:6" ht="15.75">
      <c r="A318" s="655">
        <v>18</v>
      </c>
      <c r="B318" s="543" t="s">
        <v>3300</v>
      </c>
      <c r="C318" s="543" t="s">
        <v>27</v>
      </c>
      <c r="D318" s="543">
        <v>10</v>
      </c>
      <c r="E318" s="544">
        <v>10200</v>
      </c>
      <c r="F318" s="555">
        <v>102000</v>
      </c>
    </row>
    <row r="319" spans="1:6" ht="31.5">
      <c r="A319" s="655">
        <v>19</v>
      </c>
      <c r="B319" s="545" t="s">
        <v>3301</v>
      </c>
      <c r="C319" s="545" t="s">
        <v>286</v>
      </c>
      <c r="D319" s="545">
        <v>30</v>
      </c>
      <c r="E319" s="527">
        <v>180000</v>
      </c>
      <c r="F319" s="556">
        <v>5400000</v>
      </c>
    </row>
    <row r="320" spans="1:6" ht="31.5">
      <c r="A320" s="655">
        <v>20</v>
      </c>
      <c r="B320" s="547" t="s">
        <v>3302</v>
      </c>
      <c r="C320" s="547" t="s">
        <v>286</v>
      </c>
      <c r="D320" s="547">
        <v>250</v>
      </c>
      <c r="E320" s="526">
        <v>7500</v>
      </c>
      <c r="F320" s="555">
        <v>1875000</v>
      </c>
    </row>
    <row r="321" spans="1:6" ht="15.75">
      <c r="A321" s="655">
        <v>21</v>
      </c>
      <c r="B321" s="523" t="s">
        <v>3303</v>
      </c>
      <c r="C321" s="523" t="s">
        <v>286</v>
      </c>
      <c r="D321" s="523">
        <v>70</v>
      </c>
      <c r="E321" s="556">
        <v>95000</v>
      </c>
      <c r="F321" s="556">
        <v>6650000</v>
      </c>
    </row>
    <row r="322" spans="1:6" ht="15.75">
      <c r="A322" s="655">
        <v>22</v>
      </c>
      <c r="B322" s="524" t="s">
        <v>3304</v>
      </c>
      <c r="C322" s="524" t="s">
        <v>286</v>
      </c>
      <c r="D322" s="524">
        <v>70</v>
      </c>
      <c r="E322" s="555">
        <v>45000</v>
      </c>
      <c r="F322" s="555">
        <v>3150000</v>
      </c>
    </row>
    <row r="323" spans="1:6" ht="15.75">
      <c r="A323" s="655">
        <v>23</v>
      </c>
      <c r="B323" s="523" t="s">
        <v>3305</v>
      </c>
      <c r="C323" s="523" t="s">
        <v>286</v>
      </c>
      <c r="D323" s="523">
        <v>70</v>
      </c>
      <c r="E323" s="556">
        <v>120000</v>
      </c>
      <c r="F323" s="556">
        <v>8400000</v>
      </c>
    </row>
    <row r="324" spans="1:6" ht="15.75">
      <c r="A324" s="655">
        <v>24</v>
      </c>
      <c r="B324" s="524" t="s">
        <v>344</v>
      </c>
      <c r="C324" s="524" t="s">
        <v>286</v>
      </c>
      <c r="D324" s="524">
        <v>70</v>
      </c>
      <c r="E324" s="555">
        <v>100000</v>
      </c>
      <c r="F324" s="555">
        <v>7000000</v>
      </c>
    </row>
    <row r="325" spans="1:6" ht="15.75">
      <c r="A325" s="655">
        <v>25</v>
      </c>
      <c r="B325" s="523" t="s">
        <v>3306</v>
      </c>
      <c r="C325" s="523" t="s">
        <v>286</v>
      </c>
      <c r="D325" s="523">
        <v>100</v>
      </c>
      <c r="E325" s="538">
        <v>4500</v>
      </c>
      <c r="F325" s="556">
        <v>450000</v>
      </c>
    </row>
    <row r="326" spans="1:6" ht="15.75">
      <c r="A326" s="655">
        <v>26</v>
      </c>
      <c r="B326" s="524" t="s">
        <v>3171</v>
      </c>
      <c r="C326" s="524" t="s">
        <v>286</v>
      </c>
      <c r="D326" s="563">
        <v>200</v>
      </c>
      <c r="E326" s="563">
        <v>3000</v>
      </c>
      <c r="F326" s="555">
        <v>600000</v>
      </c>
    </row>
    <row r="327" spans="1:6" ht="15.75">
      <c r="A327" s="655">
        <v>27</v>
      </c>
      <c r="B327" s="523" t="s">
        <v>3307</v>
      </c>
      <c r="C327" s="523" t="s">
        <v>286</v>
      </c>
      <c r="D327" s="562">
        <v>20</v>
      </c>
      <c r="E327" s="562">
        <v>9100</v>
      </c>
      <c r="F327" s="556">
        <v>182000</v>
      </c>
    </row>
    <row r="328" spans="1:6" ht="15.75">
      <c r="A328" s="655">
        <v>28</v>
      </c>
      <c r="B328" s="524" t="s">
        <v>3308</v>
      </c>
      <c r="C328" s="524" t="s">
        <v>314</v>
      </c>
      <c r="D328" s="563">
        <v>20</v>
      </c>
      <c r="E328" s="563">
        <v>10000</v>
      </c>
      <c r="F328" s="555">
        <v>200000</v>
      </c>
    </row>
    <row r="329" spans="1:6" ht="15.75">
      <c r="A329" s="655">
        <v>29</v>
      </c>
      <c r="B329" s="523" t="s">
        <v>3309</v>
      </c>
      <c r="C329" s="523" t="s">
        <v>27</v>
      </c>
      <c r="D329" s="562">
        <v>30</v>
      </c>
      <c r="E329" s="562">
        <v>40000</v>
      </c>
      <c r="F329" s="556">
        <v>1200000</v>
      </c>
    </row>
    <row r="330" spans="1:6" ht="15.75">
      <c r="A330" s="655">
        <v>30</v>
      </c>
      <c r="B330" s="524" t="s">
        <v>3310</v>
      </c>
      <c r="C330" s="524" t="s">
        <v>286</v>
      </c>
      <c r="D330" s="563">
        <v>6</v>
      </c>
      <c r="E330" s="563">
        <v>20000</v>
      </c>
      <c r="F330" s="555">
        <v>120000</v>
      </c>
    </row>
    <row r="331" spans="1:6" ht="15.75">
      <c r="A331" s="655">
        <v>31</v>
      </c>
      <c r="B331" s="523" t="s">
        <v>3311</v>
      </c>
      <c r="C331" s="523" t="s">
        <v>286</v>
      </c>
      <c r="D331" s="562">
        <v>10</v>
      </c>
      <c r="E331" s="562">
        <v>10000</v>
      </c>
      <c r="F331" s="556">
        <v>100000</v>
      </c>
    </row>
    <row r="332" spans="1:6" ht="15.75">
      <c r="A332" s="655">
        <v>32</v>
      </c>
      <c r="B332" s="524" t="s">
        <v>3311</v>
      </c>
      <c r="C332" s="524" t="s">
        <v>432</v>
      </c>
      <c r="D332" s="563">
        <v>20</v>
      </c>
      <c r="E332" s="563">
        <v>15000</v>
      </c>
      <c r="F332" s="555">
        <v>300000</v>
      </c>
    </row>
    <row r="333" spans="1:6" ht="31.5">
      <c r="A333" s="655">
        <v>33</v>
      </c>
      <c r="B333" s="549" t="s">
        <v>3312</v>
      </c>
      <c r="C333" s="549" t="s">
        <v>27</v>
      </c>
      <c r="D333" s="553">
        <v>200</v>
      </c>
      <c r="E333" s="565">
        <v>45000</v>
      </c>
      <c r="F333" s="556">
        <v>9000000</v>
      </c>
    </row>
    <row r="334" spans="1:6" ht="31.5">
      <c r="A334" s="655">
        <v>34</v>
      </c>
      <c r="B334" s="547" t="s">
        <v>3313</v>
      </c>
      <c r="C334" s="547" t="s">
        <v>286</v>
      </c>
      <c r="D334" s="547">
        <v>300</v>
      </c>
      <c r="E334" s="564">
        <v>3700</v>
      </c>
      <c r="F334" s="555">
        <v>1110000</v>
      </c>
    </row>
    <row r="335" spans="1:6" ht="31.5">
      <c r="A335" s="655">
        <v>35</v>
      </c>
      <c r="B335" s="549" t="s">
        <v>3312</v>
      </c>
      <c r="C335" s="549" t="s">
        <v>27</v>
      </c>
      <c r="D335" s="553">
        <v>50</v>
      </c>
      <c r="E335" s="565">
        <v>30000</v>
      </c>
      <c r="F335" s="556">
        <v>1500000</v>
      </c>
    </row>
    <row r="336" spans="1:6" ht="31.5">
      <c r="A336" s="655">
        <v>36</v>
      </c>
      <c r="B336" s="547" t="s">
        <v>3313</v>
      </c>
      <c r="C336" s="547" t="s">
        <v>286</v>
      </c>
      <c r="D336" s="547">
        <v>100</v>
      </c>
      <c r="E336" s="564">
        <v>3700</v>
      </c>
      <c r="F336" s="555">
        <v>370000</v>
      </c>
    </row>
    <row r="337" spans="1:6" ht="31.5">
      <c r="A337" s="655">
        <v>37</v>
      </c>
      <c r="B337" s="545" t="s">
        <v>3302</v>
      </c>
      <c r="C337" s="545" t="s">
        <v>286</v>
      </c>
      <c r="D337" s="545">
        <v>800</v>
      </c>
      <c r="E337" s="525">
        <v>4000</v>
      </c>
      <c r="F337" s="525">
        <v>3200000</v>
      </c>
    </row>
    <row r="338" spans="1:6" ht="15.75">
      <c r="A338" s="655">
        <v>38</v>
      </c>
      <c r="B338" s="547" t="s">
        <v>3314</v>
      </c>
      <c r="C338" s="578" t="s">
        <v>27</v>
      </c>
      <c r="D338" s="547">
        <v>10</v>
      </c>
      <c r="E338" s="526">
        <v>35000</v>
      </c>
      <c r="F338" s="528">
        <v>350000</v>
      </c>
    </row>
    <row r="339" spans="1:6" ht="15.75">
      <c r="A339" s="655">
        <v>39</v>
      </c>
      <c r="B339" s="545" t="s">
        <v>3315</v>
      </c>
      <c r="C339" s="545" t="s">
        <v>286</v>
      </c>
      <c r="D339" s="545">
        <v>1200</v>
      </c>
      <c r="E339" s="527">
        <v>1000</v>
      </c>
      <c r="F339" s="525">
        <v>1200000</v>
      </c>
    </row>
    <row r="340" spans="1:6" ht="31.5">
      <c r="A340" s="655">
        <v>40</v>
      </c>
      <c r="B340" s="543" t="s">
        <v>3312</v>
      </c>
      <c r="C340" s="578" t="s">
        <v>27</v>
      </c>
      <c r="D340" s="582">
        <v>32.4</v>
      </c>
      <c r="E340" s="526">
        <v>30000</v>
      </c>
      <c r="F340" s="528">
        <v>972000</v>
      </c>
    </row>
    <row r="341" spans="1:6" ht="36.75" customHeight="1">
      <c r="A341" s="136"/>
      <c r="B341" s="1254" t="s">
        <v>3342</v>
      </c>
      <c r="C341" s="1255"/>
      <c r="D341" s="1255"/>
      <c r="E341" s="1255"/>
      <c r="F341" s="1255"/>
    </row>
    <row r="342" spans="1:6" ht="15.75">
      <c r="A342" s="136">
        <v>1</v>
      </c>
      <c r="B342" s="545" t="s">
        <v>3316</v>
      </c>
      <c r="C342" s="523" t="s">
        <v>286</v>
      </c>
      <c r="D342" s="545">
        <v>1000</v>
      </c>
      <c r="E342" s="527">
        <v>5100</v>
      </c>
      <c r="F342" s="556">
        <v>5100000</v>
      </c>
    </row>
    <row r="343" spans="1:6" ht="15.75">
      <c r="A343" s="136">
        <v>2</v>
      </c>
      <c r="B343" s="547" t="s">
        <v>3317</v>
      </c>
      <c r="C343" s="524" t="s">
        <v>27</v>
      </c>
      <c r="D343" s="533">
        <v>50</v>
      </c>
      <c r="E343" s="526">
        <v>58000</v>
      </c>
      <c r="F343" s="555">
        <v>2900000</v>
      </c>
    </row>
    <row r="344" spans="1:6" ht="15.75">
      <c r="A344" s="136">
        <v>3</v>
      </c>
      <c r="B344" s="549" t="s">
        <v>3318</v>
      </c>
      <c r="C344" s="523" t="s">
        <v>27</v>
      </c>
      <c r="D344" s="549">
        <v>150</v>
      </c>
      <c r="E344" s="553">
        <v>85000</v>
      </c>
      <c r="F344" s="556">
        <v>12750000</v>
      </c>
    </row>
    <row r="345" spans="1:6" ht="31.5">
      <c r="A345" s="136">
        <v>4</v>
      </c>
      <c r="B345" s="524" t="s">
        <v>3319</v>
      </c>
      <c r="C345" s="524" t="s">
        <v>27</v>
      </c>
      <c r="D345" s="539">
        <v>150</v>
      </c>
      <c r="E345" s="540">
        <v>95000</v>
      </c>
      <c r="F345" s="555">
        <v>14250000</v>
      </c>
    </row>
    <row r="346" spans="1:6" ht="15.75">
      <c r="A346" s="136">
        <v>5</v>
      </c>
      <c r="B346" s="549" t="s">
        <v>3318</v>
      </c>
      <c r="C346" s="523" t="s">
        <v>27</v>
      </c>
      <c r="D346" s="549">
        <v>150</v>
      </c>
      <c r="E346" s="553">
        <v>55000</v>
      </c>
      <c r="F346" s="556">
        <v>8250000</v>
      </c>
    </row>
    <row r="347" spans="1:6" ht="15.75">
      <c r="A347" s="136">
        <v>6</v>
      </c>
      <c r="B347" s="543" t="s">
        <v>3320</v>
      </c>
      <c r="C347" s="524" t="s">
        <v>286</v>
      </c>
      <c r="D347" s="543">
        <v>50</v>
      </c>
      <c r="E347" s="554">
        <v>15000</v>
      </c>
      <c r="F347" s="555">
        <v>750000</v>
      </c>
    </row>
    <row r="348" spans="1:6" ht="31.5">
      <c r="A348" s="136">
        <v>7</v>
      </c>
      <c r="B348" s="523" t="s">
        <v>3319</v>
      </c>
      <c r="C348" s="523" t="s">
        <v>27</v>
      </c>
      <c r="D348" s="537">
        <v>150</v>
      </c>
      <c r="E348" s="538">
        <v>60000</v>
      </c>
      <c r="F348" s="556">
        <v>9000000</v>
      </c>
    </row>
    <row r="349" spans="1:6" ht="15.75">
      <c r="A349" s="136">
        <v>8</v>
      </c>
      <c r="B349" s="524" t="s">
        <v>3321</v>
      </c>
      <c r="C349" s="524" t="s">
        <v>286</v>
      </c>
      <c r="D349" s="539">
        <v>100</v>
      </c>
      <c r="E349" s="540">
        <v>15000</v>
      </c>
      <c r="F349" s="555">
        <v>1500000</v>
      </c>
    </row>
    <row r="350" spans="1:6" ht="31.5">
      <c r="A350" s="136">
        <v>9</v>
      </c>
      <c r="B350" s="523" t="s">
        <v>3322</v>
      </c>
      <c r="C350" s="523" t="s">
        <v>286</v>
      </c>
      <c r="D350" s="537">
        <v>825</v>
      </c>
      <c r="E350" s="538">
        <v>25000</v>
      </c>
      <c r="F350" s="556">
        <v>20625000</v>
      </c>
    </row>
    <row r="351" spans="1:6" ht="15.75">
      <c r="A351" s="136">
        <v>10</v>
      </c>
      <c r="B351" s="524" t="s">
        <v>3321</v>
      </c>
      <c r="C351" s="524" t="s">
        <v>286</v>
      </c>
      <c r="D351" s="539">
        <v>50</v>
      </c>
      <c r="E351" s="540">
        <v>15000</v>
      </c>
      <c r="F351" s="555">
        <v>750000</v>
      </c>
    </row>
    <row r="352" spans="1:6" ht="15.75">
      <c r="A352" s="136">
        <v>11</v>
      </c>
      <c r="B352" s="523" t="s">
        <v>3323</v>
      </c>
      <c r="C352" s="523" t="s">
        <v>27</v>
      </c>
      <c r="D352" s="537">
        <v>200</v>
      </c>
      <c r="E352" s="538">
        <v>7000</v>
      </c>
      <c r="F352" s="556">
        <v>1400000</v>
      </c>
    </row>
    <row r="353" spans="1:6" ht="15.75">
      <c r="A353" s="136">
        <v>12</v>
      </c>
      <c r="B353" s="524" t="s">
        <v>3324</v>
      </c>
      <c r="C353" s="524" t="s">
        <v>27</v>
      </c>
      <c r="D353" s="539">
        <v>30</v>
      </c>
      <c r="E353" s="540">
        <v>35000</v>
      </c>
      <c r="F353" s="555">
        <v>1050000</v>
      </c>
    </row>
    <row r="354" spans="1:6" ht="15.75">
      <c r="A354" s="136">
        <v>13</v>
      </c>
      <c r="B354" s="549" t="s">
        <v>3325</v>
      </c>
      <c r="C354" s="549" t="s">
        <v>27</v>
      </c>
      <c r="D354" s="549">
        <v>150</v>
      </c>
      <c r="E354" s="581">
        <v>35000</v>
      </c>
      <c r="F354" s="556">
        <v>5250000</v>
      </c>
    </row>
    <row r="355" spans="1:6" ht="15.75">
      <c r="A355" s="136">
        <v>14</v>
      </c>
      <c r="B355" s="524" t="s">
        <v>3326</v>
      </c>
      <c r="C355" s="524" t="s">
        <v>27</v>
      </c>
      <c r="D355" s="524">
        <v>130</v>
      </c>
      <c r="E355" s="524">
        <v>30000</v>
      </c>
      <c r="F355" s="555">
        <v>3900000</v>
      </c>
    </row>
    <row r="356" spans="1:6" ht="15.75">
      <c r="A356" s="136">
        <v>15</v>
      </c>
      <c r="B356" s="523" t="s">
        <v>3326</v>
      </c>
      <c r="C356" s="523" t="s">
        <v>27</v>
      </c>
      <c r="D356" s="523">
        <v>260</v>
      </c>
      <c r="E356" s="523">
        <v>28000</v>
      </c>
      <c r="F356" s="556">
        <v>7280000</v>
      </c>
    </row>
    <row r="357" spans="1:6" ht="15.75">
      <c r="A357" s="136">
        <v>16</v>
      </c>
      <c r="B357" s="547" t="s">
        <v>3327</v>
      </c>
      <c r="C357" s="524" t="s">
        <v>27</v>
      </c>
      <c r="D357" s="547">
        <v>50</v>
      </c>
      <c r="E357" s="526">
        <v>55000</v>
      </c>
      <c r="F357" s="555">
        <v>2750000</v>
      </c>
    </row>
    <row r="358" spans="1:6" ht="15.75">
      <c r="A358" s="136">
        <v>17</v>
      </c>
      <c r="B358" s="545" t="s">
        <v>3327</v>
      </c>
      <c r="C358" s="523" t="s">
        <v>27</v>
      </c>
      <c r="D358" s="545">
        <v>50</v>
      </c>
      <c r="E358" s="527">
        <v>60000</v>
      </c>
      <c r="F358" s="556">
        <v>3000000</v>
      </c>
    </row>
    <row r="359" spans="1:6" ht="15.75">
      <c r="A359" s="136">
        <v>18</v>
      </c>
      <c r="B359" s="543" t="s">
        <v>3328</v>
      </c>
      <c r="C359" s="543" t="s">
        <v>286</v>
      </c>
      <c r="D359" s="551">
        <v>1440</v>
      </c>
      <c r="E359" s="551">
        <v>15600</v>
      </c>
      <c r="F359" s="555">
        <v>22464000</v>
      </c>
    </row>
    <row r="360" spans="1:6" ht="15.75">
      <c r="A360" s="136">
        <v>19</v>
      </c>
      <c r="B360" s="549" t="s">
        <v>3329</v>
      </c>
      <c r="C360" s="549" t="s">
        <v>27</v>
      </c>
      <c r="D360" s="550">
        <v>10</v>
      </c>
      <c r="E360" s="550">
        <v>37000</v>
      </c>
      <c r="F360" s="556">
        <v>370000</v>
      </c>
    </row>
    <row r="361" spans="1:6" ht="15.75">
      <c r="A361" s="136">
        <v>20</v>
      </c>
      <c r="B361" s="543" t="s">
        <v>3330</v>
      </c>
      <c r="C361" s="543" t="s">
        <v>286</v>
      </c>
      <c r="D361" s="551">
        <v>30</v>
      </c>
      <c r="E361" s="551">
        <v>45000</v>
      </c>
      <c r="F361" s="555">
        <v>1350000</v>
      </c>
    </row>
    <row r="362" spans="1:6" ht="15.75">
      <c r="A362" s="136">
        <v>21</v>
      </c>
      <c r="B362" s="549" t="s">
        <v>3331</v>
      </c>
      <c r="C362" s="549" t="s">
        <v>286</v>
      </c>
      <c r="D362" s="550">
        <v>1400</v>
      </c>
      <c r="E362" s="550">
        <v>8000</v>
      </c>
      <c r="F362" s="556">
        <v>11200000</v>
      </c>
    </row>
    <row r="363" spans="1:6" ht="15.75">
      <c r="A363" s="136">
        <v>22</v>
      </c>
      <c r="B363" s="543" t="s">
        <v>3330</v>
      </c>
      <c r="C363" s="543" t="s">
        <v>286</v>
      </c>
      <c r="D363" s="551">
        <v>30</v>
      </c>
      <c r="E363" s="551">
        <v>23000</v>
      </c>
      <c r="F363" s="555">
        <v>690000</v>
      </c>
    </row>
    <row r="364" spans="1:6" ht="15.75">
      <c r="A364" s="136">
        <v>23</v>
      </c>
      <c r="B364" s="549" t="s">
        <v>3332</v>
      </c>
      <c r="C364" s="549" t="s">
        <v>27</v>
      </c>
      <c r="D364" s="549">
        <v>30</v>
      </c>
      <c r="E364" s="525">
        <v>80000</v>
      </c>
      <c r="F364" s="556">
        <v>2400000</v>
      </c>
    </row>
    <row r="365" spans="1:6" ht="15.75">
      <c r="A365" s="136">
        <v>24</v>
      </c>
      <c r="B365" s="543" t="s">
        <v>3333</v>
      </c>
      <c r="C365" s="543" t="s">
        <v>286</v>
      </c>
      <c r="D365" s="543">
        <v>20</v>
      </c>
      <c r="E365" s="554">
        <v>40000</v>
      </c>
      <c r="F365" s="555">
        <v>800000</v>
      </c>
    </row>
    <row r="366" spans="1:6" ht="15.75">
      <c r="A366" s="136">
        <v>25</v>
      </c>
      <c r="B366" s="523" t="s">
        <v>3334</v>
      </c>
      <c r="C366" s="523" t="s">
        <v>27</v>
      </c>
      <c r="D366" s="523">
        <v>50</v>
      </c>
      <c r="E366" s="525">
        <v>60000</v>
      </c>
      <c r="F366" s="556">
        <v>3000000</v>
      </c>
    </row>
    <row r="367" spans="1:6" ht="15.75">
      <c r="A367" s="136">
        <v>26</v>
      </c>
      <c r="B367" s="543" t="s">
        <v>3335</v>
      </c>
      <c r="C367" s="543" t="s">
        <v>27</v>
      </c>
      <c r="D367" s="543">
        <v>100</v>
      </c>
      <c r="E367" s="528">
        <v>42950</v>
      </c>
      <c r="F367" s="555">
        <v>4295000</v>
      </c>
    </row>
    <row r="368" spans="1:6" ht="15.75">
      <c r="A368" s="136">
        <v>27</v>
      </c>
      <c r="B368" s="523" t="s">
        <v>3334</v>
      </c>
      <c r="C368" s="523" t="s">
        <v>27</v>
      </c>
      <c r="D368" s="523">
        <v>20</v>
      </c>
      <c r="E368" s="538">
        <v>64000</v>
      </c>
      <c r="F368" s="556">
        <v>1280000</v>
      </c>
    </row>
    <row r="369" spans="1:6" ht="15.75">
      <c r="A369" s="136">
        <v>28</v>
      </c>
      <c r="B369" s="543" t="s">
        <v>3335</v>
      </c>
      <c r="C369" s="543" t="s">
        <v>27</v>
      </c>
      <c r="D369" s="543">
        <v>150</v>
      </c>
      <c r="E369" s="540">
        <v>42950</v>
      </c>
      <c r="F369" s="555">
        <v>6442500</v>
      </c>
    </row>
    <row r="370" spans="1:6" ht="15.75">
      <c r="A370" s="136">
        <v>29</v>
      </c>
      <c r="B370" s="523" t="s">
        <v>3336</v>
      </c>
      <c r="C370" s="523" t="s">
        <v>27</v>
      </c>
      <c r="D370" s="523">
        <v>15</v>
      </c>
      <c r="E370" s="556">
        <v>40000</v>
      </c>
      <c r="F370" s="556">
        <v>600000</v>
      </c>
    </row>
    <row r="371" spans="1:6" ht="15.75">
      <c r="A371" s="136">
        <v>30</v>
      </c>
      <c r="B371" s="524" t="s">
        <v>3337</v>
      </c>
      <c r="C371" s="524" t="s">
        <v>27</v>
      </c>
      <c r="D371" s="524">
        <v>100</v>
      </c>
      <c r="E371" s="555">
        <v>30000</v>
      </c>
      <c r="F371" s="555">
        <v>3000000</v>
      </c>
    </row>
    <row r="372" spans="1:6" ht="15.75">
      <c r="A372" s="136">
        <v>31</v>
      </c>
      <c r="B372" s="523" t="s">
        <v>3336</v>
      </c>
      <c r="C372" s="523" t="s">
        <v>27</v>
      </c>
      <c r="D372" s="523">
        <v>15</v>
      </c>
      <c r="E372" s="534">
        <v>40000</v>
      </c>
      <c r="F372" s="556">
        <v>600000</v>
      </c>
    </row>
    <row r="373" spans="1:6" ht="15.75">
      <c r="A373" s="136">
        <v>32</v>
      </c>
      <c r="B373" s="524" t="s">
        <v>3337</v>
      </c>
      <c r="C373" s="524" t="s">
        <v>27</v>
      </c>
      <c r="D373" s="524">
        <v>100</v>
      </c>
      <c r="E373" s="533">
        <v>30000</v>
      </c>
      <c r="F373" s="555">
        <v>3000000</v>
      </c>
    </row>
    <row r="374" spans="1:6" ht="15.75">
      <c r="A374" s="136">
        <v>33</v>
      </c>
      <c r="B374" s="523" t="s">
        <v>3336</v>
      </c>
      <c r="C374" s="523" t="s">
        <v>27</v>
      </c>
      <c r="D374" s="523">
        <v>15</v>
      </c>
      <c r="E374" s="534">
        <v>40000</v>
      </c>
      <c r="F374" s="556">
        <v>600000</v>
      </c>
    </row>
    <row r="375" spans="1:6" ht="15.75">
      <c r="A375" s="136">
        <v>34</v>
      </c>
      <c r="B375" s="524" t="s">
        <v>3337</v>
      </c>
      <c r="C375" s="524" t="s">
        <v>27</v>
      </c>
      <c r="D375" s="524">
        <v>100</v>
      </c>
      <c r="E375" s="533">
        <v>30000</v>
      </c>
      <c r="F375" s="555">
        <v>3000000</v>
      </c>
    </row>
    <row r="376" spans="1:6" ht="15.75">
      <c r="A376" s="136">
        <v>35</v>
      </c>
      <c r="B376" s="523" t="s">
        <v>3336</v>
      </c>
      <c r="C376" s="523" t="s">
        <v>27</v>
      </c>
      <c r="D376" s="523">
        <v>15</v>
      </c>
      <c r="E376" s="534">
        <v>40000</v>
      </c>
      <c r="F376" s="556">
        <v>600000</v>
      </c>
    </row>
    <row r="377" spans="1:6" ht="15.75">
      <c r="A377" s="136">
        <v>36</v>
      </c>
      <c r="B377" s="524" t="s">
        <v>3337</v>
      </c>
      <c r="C377" s="524" t="s">
        <v>27</v>
      </c>
      <c r="D377" s="524">
        <v>160</v>
      </c>
      <c r="E377" s="533">
        <v>30000</v>
      </c>
      <c r="F377" s="555">
        <v>4800000</v>
      </c>
    </row>
    <row r="378" spans="1:6" ht="15.75">
      <c r="A378" s="136">
        <v>37</v>
      </c>
      <c r="B378" s="570" t="s">
        <v>3338</v>
      </c>
      <c r="C378" s="523" t="s">
        <v>518</v>
      </c>
      <c r="D378" s="570">
        <v>6000</v>
      </c>
      <c r="E378" s="556">
        <v>700</v>
      </c>
      <c r="F378" s="556">
        <v>4200000</v>
      </c>
    </row>
    <row r="379" spans="1:6" ht="15.75">
      <c r="A379" s="136">
        <v>38</v>
      </c>
      <c r="B379" s="547" t="s">
        <v>3327</v>
      </c>
      <c r="C379" s="524" t="s">
        <v>27</v>
      </c>
      <c r="D379" s="547">
        <v>60</v>
      </c>
      <c r="E379" s="564">
        <v>55000</v>
      </c>
      <c r="F379" s="555">
        <v>3300000</v>
      </c>
    </row>
    <row r="380" spans="1:6" ht="15.75">
      <c r="A380" s="136">
        <v>39</v>
      </c>
      <c r="B380" s="545" t="s">
        <v>3339</v>
      </c>
      <c r="C380" s="523" t="s">
        <v>27</v>
      </c>
      <c r="D380" s="545">
        <v>20</v>
      </c>
      <c r="E380" s="527">
        <v>45000</v>
      </c>
      <c r="F380" s="556">
        <v>900000</v>
      </c>
    </row>
    <row r="381" spans="1:6" ht="15.75">
      <c r="A381" s="136">
        <v>40</v>
      </c>
      <c r="B381" s="583" t="s">
        <v>3338</v>
      </c>
      <c r="C381" s="524" t="s">
        <v>518</v>
      </c>
      <c r="D381" s="583">
        <v>6000</v>
      </c>
      <c r="E381" s="584">
        <v>700</v>
      </c>
      <c r="F381" s="555">
        <v>4200000</v>
      </c>
    </row>
    <row r="382" spans="1:6" ht="15.75">
      <c r="A382" s="136">
        <v>41</v>
      </c>
      <c r="B382" s="545" t="s">
        <v>3339</v>
      </c>
      <c r="C382" s="549" t="s">
        <v>27</v>
      </c>
      <c r="D382" s="545">
        <v>30</v>
      </c>
      <c r="E382" s="565">
        <v>40000</v>
      </c>
      <c r="F382" s="556">
        <v>1200000</v>
      </c>
    </row>
    <row r="383" spans="1:6" ht="15.75">
      <c r="A383" s="136">
        <v>42</v>
      </c>
      <c r="B383" s="547" t="s">
        <v>3338</v>
      </c>
      <c r="C383" s="543" t="s">
        <v>518</v>
      </c>
      <c r="D383" s="547">
        <v>6600</v>
      </c>
      <c r="E383" s="585">
        <v>700</v>
      </c>
      <c r="F383" s="555">
        <v>4620000</v>
      </c>
    </row>
    <row r="384" spans="1:6" ht="15.75">
      <c r="A384" s="136">
        <v>43</v>
      </c>
      <c r="B384" s="545" t="s">
        <v>3338</v>
      </c>
      <c r="C384" s="549" t="s">
        <v>518</v>
      </c>
      <c r="D384" s="545">
        <v>6600</v>
      </c>
      <c r="E384" s="586">
        <v>700</v>
      </c>
      <c r="F384" s="556">
        <v>4620000</v>
      </c>
    </row>
    <row r="385" spans="1:6" ht="15.75">
      <c r="A385" s="136">
        <v>44</v>
      </c>
      <c r="B385" s="547" t="s">
        <v>3339</v>
      </c>
      <c r="C385" s="578" t="s">
        <v>27</v>
      </c>
      <c r="D385" s="547">
        <v>100</v>
      </c>
      <c r="E385" s="528">
        <v>35000</v>
      </c>
      <c r="F385" s="528">
        <v>3500000</v>
      </c>
    </row>
    <row r="386" spans="1:6" ht="15.75">
      <c r="A386" s="136">
        <v>45</v>
      </c>
      <c r="B386" s="545" t="s">
        <v>3338</v>
      </c>
      <c r="C386" s="579" t="s">
        <v>518</v>
      </c>
      <c r="D386" s="545">
        <v>13200</v>
      </c>
      <c r="E386" s="525">
        <v>800</v>
      </c>
      <c r="F386" s="525">
        <v>10560000</v>
      </c>
    </row>
    <row r="387" spans="1:6" ht="15.75">
      <c r="A387" s="136">
        <v>46</v>
      </c>
      <c r="B387" s="547" t="s">
        <v>3340</v>
      </c>
      <c r="C387" s="578" t="s">
        <v>27</v>
      </c>
      <c r="D387" s="547">
        <v>1129</v>
      </c>
      <c r="E387" s="529">
        <v>35000</v>
      </c>
      <c r="F387" s="528">
        <v>39515000</v>
      </c>
    </row>
    <row r="388" spans="1:6" ht="15.75">
      <c r="A388" s="136">
        <v>47</v>
      </c>
      <c r="B388" s="545" t="s">
        <v>3341</v>
      </c>
      <c r="C388" s="579" t="s">
        <v>518</v>
      </c>
      <c r="D388" s="545">
        <v>11200</v>
      </c>
      <c r="E388" s="530">
        <v>900</v>
      </c>
      <c r="F388" s="525">
        <v>10080000</v>
      </c>
    </row>
    <row r="389" spans="1:6" ht="15.75">
      <c r="A389" s="136">
        <v>48</v>
      </c>
      <c r="B389" s="543" t="s">
        <v>3331</v>
      </c>
      <c r="C389" s="578" t="s">
        <v>286</v>
      </c>
      <c r="D389" s="551">
        <v>1000</v>
      </c>
      <c r="E389" s="551">
        <v>6000</v>
      </c>
      <c r="F389" s="532">
        <v>6000000</v>
      </c>
    </row>
    <row r="390" spans="1:6" ht="44.25" customHeight="1">
      <c r="A390" s="136"/>
      <c r="B390" s="1254" t="s">
        <v>3509</v>
      </c>
      <c r="C390" s="1255"/>
      <c r="D390" s="1255"/>
      <c r="E390" s="1255"/>
      <c r="F390" s="1255"/>
    </row>
    <row r="391" spans="1:6" ht="31.5">
      <c r="A391" s="136">
        <v>1</v>
      </c>
      <c r="B391" s="545" t="s">
        <v>3343</v>
      </c>
      <c r="C391" s="545" t="s">
        <v>27</v>
      </c>
      <c r="D391" s="545">
        <v>80</v>
      </c>
      <c r="E391" s="527">
        <v>51500</v>
      </c>
      <c r="F391" s="556">
        <v>4120000</v>
      </c>
    </row>
    <row r="392" spans="1:6" ht="15.75">
      <c r="A392" s="136">
        <v>2</v>
      </c>
      <c r="B392" s="547" t="s">
        <v>3344</v>
      </c>
      <c r="C392" s="547" t="s">
        <v>385</v>
      </c>
      <c r="D392" s="547">
        <v>60</v>
      </c>
      <c r="E392" s="526">
        <v>54000</v>
      </c>
      <c r="F392" s="555">
        <v>3240000</v>
      </c>
    </row>
    <row r="393" spans="1:6" ht="31.5">
      <c r="A393" s="136">
        <v>3</v>
      </c>
      <c r="B393" s="545" t="s">
        <v>3345</v>
      </c>
      <c r="C393" s="545" t="s">
        <v>286</v>
      </c>
      <c r="D393" s="545">
        <v>20</v>
      </c>
      <c r="E393" s="527">
        <v>40000</v>
      </c>
      <c r="F393" s="556">
        <v>800000</v>
      </c>
    </row>
    <row r="394" spans="1:6" ht="15.75">
      <c r="A394" s="136">
        <v>4</v>
      </c>
      <c r="B394" s="524" t="s">
        <v>3346</v>
      </c>
      <c r="C394" s="524" t="s">
        <v>286</v>
      </c>
      <c r="D394" s="548">
        <v>5</v>
      </c>
      <c r="E394" s="526">
        <v>26000</v>
      </c>
      <c r="F394" s="555">
        <v>130000</v>
      </c>
    </row>
    <row r="395" spans="1:6" ht="15.75">
      <c r="A395" s="136">
        <v>5</v>
      </c>
      <c r="B395" s="523" t="s">
        <v>3347</v>
      </c>
      <c r="C395" s="523" t="s">
        <v>286</v>
      </c>
      <c r="D395" s="546">
        <v>5</v>
      </c>
      <c r="E395" s="527">
        <v>21500</v>
      </c>
      <c r="F395" s="556">
        <v>107500</v>
      </c>
    </row>
    <row r="396" spans="1:6" ht="31.5">
      <c r="A396" s="136">
        <v>6</v>
      </c>
      <c r="B396" s="524" t="s">
        <v>3348</v>
      </c>
      <c r="C396" s="524" t="s">
        <v>286</v>
      </c>
      <c r="D396" s="548">
        <v>5</v>
      </c>
      <c r="E396" s="526">
        <v>16000</v>
      </c>
      <c r="F396" s="555">
        <v>80000</v>
      </c>
    </row>
    <row r="397" spans="1:6" ht="31.5">
      <c r="A397" s="136">
        <v>7</v>
      </c>
      <c r="B397" s="523" t="s">
        <v>3349</v>
      </c>
      <c r="C397" s="523" t="s">
        <v>286</v>
      </c>
      <c r="D397" s="546">
        <v>2</v>
      </c>
      <c r="E397" s="527">
        <v>34500</v>
      </c>
      <c r="F397" s="556">
        <v>69000</v>
      </c>
    </row>
    <row r="398" spans="1:6" ht="15.75">
      <c r="A398" s="136">
        <v>8</v>
      </c>
      <c r="B398" s="524" t="s">
        <v>3350</v>
      </c>
      <c r="C398" s="524" t="s">
        <v>286</v>
      </c>
      <c r="D398" s="548">
        <v>2</v>
      </c>
      <c r="E398" s="526">
        <v>32000</v>
      </c>
      <c r="F398" s="555">
        <v>64000</v>
      </c>
    </row>
    <row r="399" spans="1:6" ht="15.75">
      <c r="A399" s="136">
        <v>9</v>
      </c>
      <c r="B399" s="523" t="s">
        <v>3351</v>
      </c>
      <c r="C399" s="523" t="s">
        <v>286</v>
      </c>
      <c r="D399" s="546">
        <v>2</v>
      </c>
      <c r="E399" s="527">
        <v>14300</v>
      </c>
      <c r="F399" s="556">
        <v>28600</v>
      </c>
    </row>
    <row r="400" spans="1:6" ht="15.75">
      <c r="A400" s="136">
        <v>10</v>
      </c>
      <c r="B400" s="524" t="s">
        <v>3352</v>
      </c>
      <c r="C400" s="524" t="s">
        <v>286</v>
      </c>
      <c r="D400" s="548">
        <v>1</v>
      </c>
      <c r="E400" s="526">
        <v>120000</v>
      </c>
      <c r="F400" s="555">
        <v>120000</v>
      </c>
    </row>
    <row r="401" spans="1:6" ht="15.75">
      <c r="A401" s="136">
        <v>11</v>
      </c>
      <c r="B401" s="523" t="s">
        <v>3353</v>
      </c>
      <c r="C401" s="523" t="s">
        <v>432</v>
      </c>
      <c r="D401" s="523">
        <v>60</v>
      </c>
      <c r="E401" s="534">
        <v>14000</v>
      </c>
      <c r="F401" s="556">
        <v>840000</v>
      </c>
    </row>
    <row r="402" spans="1:6" ht="15.75">
      <c r="A402" s="136">
        <v>12</v>
      </c>
      <c r="B402" s="524" t="s">
        <v>3354</v>
      </c>
      <c r="C402" s="524" t="s">
        <v>286</v>
      </c>
      <c r="D402" s="524">
        <v>3</v>
      </c>
      <c r="E402" s="533">
        <v>250000</v>
      </c>
      <c r="F402" s="555">
        <v>750000</v>
      </c>
    </row>
    <row r="403" spans="1:6" ht="15.75">
      <c r="A403" s="136">
        <v>13</v>
      </c>
      <c r="B403" s="523" t="s">
        <v>3355</v>
      </c>
      <c r="C403" s="523" t="s">
        <v>286</v>
      </c>
      <c r="D403" s="523">
        <v>8</v>
      </c>
      <c r="E403" s="534">
        <v>30000</v>
      </c>
      <c r="F403" s="556">
        <v>240000</v>
      </c>
    </row>
    <row r="404" spans="1:6" ht="15.75">
      <c r="A404" s="136">
        <v>14</v>
      </c>
      <c r="B404" s="524" t="s">
        <v>3356</v>
      </c>
      <c r="C404" s="539" t="s">
        <v>286</v>
      </c>
      <c r="D404" s="539">
        <v>15</v>
      </c>
      <c r="E404" s="587">
        <v>1000</v>
      </c>
      <c r="F404" s="555">
        <v>15000</v>
      </c>
    </row>
    <row r="405" spans="1:6" ht="15.75">
      <c r="A405" s="136">
        <v>15</v>
      </c>
      <c r="B405" s="523" t="s">
        <v>3357</v>
      </c>
      <c r="C405" s="537" t="s">
        <v>286</v>
      </c>
      <c r="D405" s="537">
        <v>10</v>
      </c>
      <c r="E405" s="580">
        <v>1000</v>
      </c>
      <c r="F405" s="556">
        <v>10000</v>
      </c>
    </row>
    <row r="406" spans="1:6" ht="15.75">
      <c r="A406" s="136">
        <v>16</v>
      </c>
      <c r="B406" s="524" t="s">
        <v>3358</v>
      </c>
      <c r="C406" s="539" t="s">
        <v>286</v>
      </c>
      <c r="D406" s="539">
        <v>1</v>
      </c>
      <c r="E406" s="587">
        <v>100000</v>
      </c>
      <c r="F406" s="555">
        <v>100000</v>
      </c>
    </row>
    <row r="407" spans="1:6" ht="15.75">
      <c r="A407" s="136">
        <v>17</v>
      </c>
      <c r="B407" s="523" t="s">
        <v>3359</v>
      </c>
      <c r="C407" s="537" t="s">
        <v>286</v>
      </c>
      <c r="D407" s="537">
        <v>3</v>
      </c>
      <c r="E407" s="580">
        <v>30000</v>
      </c>
      <c r="F407" s="556">
        <v>90000</v>
      </c>
    </row>
    <row r="408" spans="1:6" ht="15.75">
      <c r="A408" s="136">
        <v>18</v>
      </c>
      <c r="B408" s="524" t="s">
        <v>3360</v>
      </c>
      <c r="C408" s="539" t="s">
        <v>286</v>
      </c>
      <c r="D408" s="539">
        <v>8</v>
      </c>
      <c r="E408" s="587">
        <v>10000</v>
      </c>
      <c r="F408" s="555">
        <v>80000</v>
      </c>
    </row>
    <row r="409" spans="1:6" ht="15.75">
      <c r="A409" s="136">
        <v>19</v>
      </c>
      <c r="B409" s="523" t="s">
        <v>3361</v>
      </c>
      <c r="C409" s="537" t="s">
        <v>286</v>
      </c>
      <c r="D409" s="537">
        <v>2</v>
      </c>
      <c r="E409" s="580">
        <v>30000</v>
      </c>
      <c r="F409" s="556">
        <v>60000</v>
      </c>
    </row>
    <row r="410" spans="1:6" ht="15.75">
      <c r="A410" s="136">
        <v>20</v>
      </c>
      <c r="B410" s="524" t="s">
        <v>3362</v>
      </c>
      <c r="C410" s="539" t="s">
        <v>286</v>
      </c>
      <c r="D410" s="539">
        <v>4</v>
      </c>
      <c r="E410" s="587">
        <v>30000</v>
      </c>
      <c r="F410" s="555">
        <v>120000</v>
      </c>
    </row>
    <row r="411" spans="1:6" ht="15.75">
      <c r="A411" s="136">
        <v>21</v>
      </c>
      <c r="B411" s="523" t="s">
        <v>3363</v>
      </c>
      <c r="C411" s="537" t="s">
        <v>286</v>
      </c>
      <c r="D411" s="537">
        <v>1</v>
      </c>
      <c r="E411" s="580">
        <v>30000</v>
      </c>
      <c r="F411" s="556">
        <v>30000</v>
      </c>
    </row>
    <row r="412" spans="1:6" ht="15.75">
      <c r="A412" s="136">
        <v>22</v>
      </c>
      <c r="B412" s="524" t="s">
        <v>3364</v>
      </c>
      <c r="C412" s="539" t="s">
        <v>432</v>
      </c>
      <c r="D412" s="539">
        <v>100</v>
      </c>
      <c r="E412" s="587">
        <v>10000</v>
      </c>
      <c r="F412" s="555">
        <v>1000000</v>
      </c>
    </row>
    <row r="413" spans="1:6" ht="15.75">
      <c r="A413" s="136">
        <v>23</v>
      </c>
      <c r="B413" s="523" t="s">
        <v>3365</v>
      </c>
      <c r="C413" s="537" t="s">
        <v>27</v>
      </c>
      <c r="D413" s="537">
        <v>25</v>
      </c>
      <c r="E413" s="580">
        <v>17000</v>
      </c>
      <c r="F413" s="556">
        <v>425000</v>
      </c>
    </row>
    <row r="414" spans="1:6" ht="15.75">
      <c r="A414" s="136">
        <v>24</v>
      </c>
      <c r="B414" s="524" t="s">
        <v>3366</v>
      </c>
      <c r="C414" s="539" t="s">
        <v>27</v>
      </c>
      <c r="D414" s="539">
        <v>25</v>
      </c>
      <c r="E414" s="587">
        <v>17000</v>
      </c>
      <c r="F414" s="555">
        <v>425000</v>
      </c>
    </row>
    <row r="415" spans="1:6" ht="15.75">
      <c r="A415" s="136">
        <v>25</v>
      </c>
      <c r="B415" s="523" t="s">
        <v>3367</v>
      </c>
      <c r="C415" s="537" t="s">
        <v>27</v>
      </c>
      <c r="D415" s="537">
        <v>10</v>
      </c>
      <c r="E415" s="580">
        <v>15000</v>
      </c>
      <c r="F415" s="556">
        <v>150000</v>
      </c>
    </row>
    <row r="416" spans="1:6" ht="15.75">
      <c r="A416" s="136">
        <v>26</v>
      </c>
      <c r="B416" s="524" t="s">
        <v>3368</v>
      </c>
      <c r="C416" s="524" t="s">
        <v>286</v>
      </c>
      <c r="D416" s="524">
        <v>1</v>
      </c>
      <c r="E416" s="533">
        <v>75000</v>
      </c>
      <c r="F416" s="555">
        <v>75000</v>
      </c>
    </row>
    <row r="417" spans="1:6" ht="15.75">
      <c r="A417" s="136">
        <v>27</v>
      </c>
      <c r="B417" s="523" t="s">
        <v>3369</v>
      </c>
      <c r="C417" s="523" t="s">
        <v>432</v>
      </c>
      <c r="D417" s="523">
        <v>20</v>
      </c>
      <c r="E417" s="534">
        <v>15000</v>
      </c>
      <c r="F417" s="556">
        <v>300000</v>
      </c>
    </row>
    <row r="418" spans="1:6" ht="15.75">
      <c r="A418" s="136">
        <v>28</v>
      </c>
      <c r="B418" s="524" t="s">
        <v>3370</v>
      </c>
      <c r="C418" s="524" t="s">
        <v>286</v>
      </c>
      <c r="D418" s="524">
        <v>10</v>
      </c>
      <c r="E418" s="533">
        <v>40000</v>
      </c>
      <c r="F418" s="555">
        <v>400000</v>
      </c>
    </row>
    <row r="419" spans="1:6" ht="15.75">
      <c r="A419" s="136">
        <v>29</v>
      </c>
      <c r="B419" s="523" t="s">
        <v>3371</v>
      </c>
      <c r="C419" s="537" t="s">
        <v>286</v>
      </c>
      <c r="D419" s="537">
        <v>10</v>
      </c>
      <c r="E419" s="580">
        <v>40000</v>
      </c>
      <c r="F419" s="556">
        <v>400000</v>
      </c>
    </row>
    <row r="420" spans="1:6" ht="15.75">
      <c r="A420" s="136">
        <v>30</v>
      </c>
      <c r="B420" s="524" t="s">
        <v>3372</v>
      </c>
      <c r="C420" s="524" t="s">
        <v>27</v>
      </c>
      <c r="D420" s="539">
        <v>20</v>
      </c>
      <c r="E420" s="540">
        <v>21000</v>
      </c>
      <c r="F420" s="555">
        <v>420000</v>
      </c>
    </row>
    <row r="421" spans="1:6" ht="15.75">
      <c r="A421" s="136">
        <v>31</v>
      </c>
      <c r="B421" s="523" t="s">
        <v>3373</v>
      </c>
      <c r="C421" s="523" t="s">
        <v>27</v>
      </c>
      <c r="D421" s="537">
        <v>30</v>
      </c>
      <c r="E421" s="538">
        <v>30000</v>
      </c>
      <c r="F421" s="556">
        <v>900000</v>
      </c>
    </row>
    <row r="422" spans="1:6" ht="15.75">
      <c r="A422" s="136">
        <v>32</v>
      </c>
      <c r="B422" s="524" t="s">
        <v>3374</v>
      </c>
      <c r="C422" s="524" t="s">
        <v>127</v>
      </c>
      <c r="D422" s="539">
        <v>15</v>
      </c>
      <c r="E422" s="540">
        <v>165000</v>
      </c>
      <c r="F422" s="555">
        <v>2475000</v>
      </c>
    </row>
    <row r="423" spans="1:6" ht="15.75">
      <c r="A423" s="136">
        <v>33</v>
      </c>
      <c r="B423" s="523" t="s">
        <v>3375</v>
      </c>
      <c r="C423" s="523" t="s">
        <v>27</v>
      </c>
      <c r="D423" s="537">
        <v>6</v>
      </c>
      <c r="E423" s="538">
        <v>93400</v>
      </c>
      <c r="F423" s="556">
        <v>560400</v>
      </c>
    </row>
    <row r="424" spans="1:6" ht="15.75">
      <c r="A424" s="136">
        <v>34</v>
      </c>
      <c r="B424" s="524" t="s">
        <v>3376</v>
      </c>
      <c r="C424" s="524" t="s">
        <v>518</v>
      </c>
      <c r="D424" s="539">
        <v>40</v>
      </c>
      <c r="E424" s="540">
        <v>13500</v>
      </c>
      <c r="F424" s="555">
        <v>540000</v>
      </c>
    </row>
    <row r="425" spans="1:6" ht="15.75">
      <c r="A425" s="136">
        <v>35</v>
      </c>
      <c r="B425" s="523" t="s">
        <v>3377</v>
      </c>
      <c r="C425" s="523" t="s">
        <v>1282</v>
      </c>
      <c r="D425" s="537">
        <v>1</v>
      </c>
      <c r="E425" s="538">
        <v>1500000</v>
      </c>
      <c r="F425" s="556">
        <v>1500000</v>
      </c>
    </row>
    <row r="426" spans="1:6" ht="15.75">
      <c r="A426" s="136">
        <v>36</v>
      </c>
      <c r="B426" s="524" t="s">
        <v>3378</v>
      </c>
      <c r="C426" s="524" t="s">
        <v>286</v>
      </c>
      <c r="D426" s="539">
        <v>10</v>
      </c>
      <c r="E426" s="540">
        <v>4500</v>
      </c>
      <c r="F426" s="555">
        <v>45000</v>
      </c>
    </row>
    <row r="427" spans="1:6" ht="15.75">
      <c r="A427" s="136">
        <v>37</v>
      </c>
      <c r="B427" s="523" t="s">
        <v>3379</v>
      </c>
      <c r="C427" s="523" t="s">
        <v>286</v>
      </c>
      <c r="D427" s="537">
        <v>10</v>
      </c>
      <c r="E427" s="538">
        <v>6800</v>
      </c>
      <c r="F427" s="556">
        <v>68000</v>
      </c>
    </row>
    <row r="428" spans="1:6" ht="15.75">
      <c r="A428" s="136">
        <v>38</v>
      </c>
      <c r="B428" s="524" t="s">
        <v>3380</v>
      </c>
      <c r="C428" s="524" t="s">
        <v>286</v>
      </c>
      <c r="D428" s="539">
        <v>10</v>
      </c>
      <c r="E428" s="540">
        <v>8250</v>
      </c>
      <c r="F428" s="555">
        <v>82500</v>
      </c>
    </row>
    <row r="429" spans="1:6" ht="15.75">
      <c r="A429" s="136">
        <v>39</v>
      </c>
      <c r="B429" s="523" t="s">
        <v>3381</v>
      </c>
      <c r="C429" s="523" t="s">
        <v>286</v>
      </c>
      <c r="D429" s="537">
        <v>1</v>
      </c>
      <c r="E429" s="538">
        <v>550000</v>
      </c>
      <c r="F429" s="556">
        <v>550000</v>
      </c>
    </row>
    <row r="430" spans="1:6" ht="15.75">
      <c r="A430" s="136">
        <v>40</v>
      </c>
      <c r="B430" s="524" t="s">
        <v>3382</v>
      </c>
      <c r="C430" s="524" t="s">
        <v>286</v>
      </c>
      <c r="D430" s="539">
        <v>2</v>
      </c>
      <c r="E430" s="540">
        <v>1150000</v>
      </c>
      <c r="F430" s="555">
        <v>2300000</v>
      </c>
    </row>
    <row r="431" spans="1:6" ht="15.75">
      <c r="A431" s="136">
        <v>41</v>
      </c>
      <c r="B431" s="523" t="s">
        <v>3383</v>
      </c>
      <c r="C431" s="523" t="s">
        <v>286</v>
      </c>
      <c r="D431" s="537">
        <v>5</v>
      </c>
      <c r="E431" s="538">
        <v>400000</v>
      </c>
      <c r="F431" s="556">
        <v>2000000</v>
      </c>
    </row>
    <row r="432" spans="1:6" ht="15.75">
      <c r="A432" s="136">
        <v>42</v>
      </c>
      <c r="B432" s="524" t="s">
        <v>3384</v>
      </c>
      <c r="C432" s="524" t="s">
        <v>286</v>
      </c>
      <c r="D432" s="539">
        <v>5</v>
      </c>
      <c r="E432" s="540">
        <v>300000</v>
      </c>
      <c r="F432" s="555">
        <v>1500000</v>
      </c>
    </row>
    <row r="433" spans="1:6" ht="15.75">
      <c r="A433" s="136">
        <v>43</v>
      </c>
      <c r="B433" s="523" t="s">
        <v>3385</v>
      </c>
      <c r="C433" s="523" t="s">
        <v>286</v>
      </c>
      <c r="D433" s="537">
        <v>10</v>
      </c>
      <c r="E433" s="538">
        <v>25000</v>
      </c>
      <c r="F433" s="556">
        <v>250000</v>
      </c>
    </row>
    <row r="434" spans="1:6" ht="15.75">
      <c r="A434" s="136">
        <v>44</v>
      </c>
      <c r="B434" s="524" t="s">
        <v>3386</v>
      </c>
      <c r="C434" s="524" t="s">
        <v>286</v>
      </c>
      <c r="D434" s="539">
        <v>10</v>
      </c>
      <c r="E434" s="540">
        <v>30000</v>
      </c>
      <c r="F434" s="555">
        <v>300000</v>
      </c>
    </row>
    <row r="435" spans="1:6" ht="31.5">
      <c r="A435" s="136">
        <v>45</v>
      </c>
      <c r="B435" s="525" t="s">
        <v>3387</v>
      </c>
      <c r="C435" s="525" t="s">
        <v>432</v>
      </c>
      <c r="D435" s="588">
        <v>500</v>
      </c>
      <c r="E435" s="541">
        <v>21000</v>
      </c>
      <c r="F435" s="556">
        <v>10500000</v>
      </c>
    </row>
    <row r="436" spans="1:6" ht="15.75">
      <c r="A436" s="136">
        <v>46</v>
      </c>
      <c r="B436" s="524" t="s">
        <v>3388</v>
      </c>
      <c r="C436" s="524" t="s">
        <v>27</v>
      </c>
      <c r="D436" s="524">
        <v>1000</v>
      </c>
      <c r="E436" s="533">
        <v>5000</v>
      </c>
      <c r="F436" s="555">
        <v>5000000</v>
      </c>
    </row>
    <row r="437" spans="1:6" ht="15.75">
      <c r="A437" s="136">
        <v>47</v>
      </c>
      <c r="B437" s="523" t="s">
        <v>3389</v>
      </c>
      <c r="C437" s="523" t="s">
        <v>27</v>
      </c>
      <c r="D437" s="523">
        <v>10</v>
      </c>
      <c r="E437" s="534">
        <v>35000</v>
      </c>
      <c r="F437" s="556">
        <v>350000</v>
      </c>
    </row>
    <row r="438" spans="1:6" ht="15.75">
      <c r="A438" s="136">
        <v>48</v>
      </c>
      <c r="B438" s="524" t="s">
        <v>3390</v>
      </c>
      <c r="C438" s="524" t="s">
        <v>27</v>
      </c>
      <c r="D438" s="533">
        <v>10</v>
      </c>
      <c r="E438" s="542">
        <v>40000</v>
      </c>
      <c r="F438" s="555">
        <v>400000</v>
      </c>
    </row>
    <row r="439" spans="1:6" ht="15.75">
      <c r="A439" s="136">
        <v>49</v>
      </c>
      <c r="B439" s="523" t="s">
        <v>3391</v>
      </c>
      <c r="C439" s="523" t="s">
        <v>286</v>
      </c>
      <c r="D439" s="523">
        <v>2</v>
      </c>
      <c r="E439" s="534">
        <v>2300000</v>
      </c>
      <c r="F439" s="556">
        <v>4600000</v>
      </c>
    </row>
    <row r="440" spans="1:6" ht="15.75">
      <c r="A440" s="136">
        <v>50</v>
      </c>
      <c r="B440" s="524" t="s">
        <v>3392</v>
      </c>
      <c r="C440" s="524" t="s">
        <v>286</v>
      </c>
      <c r="D440" s="524">
        <v>2</v>
      </c>
      <c r="E440" s="533">
        <v>1850000</v>
      </c>
      <c r="F440" s="555">
        <v>3700000</v>
      </c>
    </row>
    <row r="441" spans="1:6" ht="15.75">
      <c r="A441" s="136">
        <v>51</v>
      </c>
      <c r="B441" s="523" t="s">
        <v>3393</v>
      </c>
      <c r="C441" s="523" t="s">
        <v>286</v>
      </c>
      <c r="D441" s="523">
        <v>1</v>
      </c>
      <c r="E441" s="534">
        <v>850000</v>
      </c>
      <c r="F441" s="556">
        <v>850000</v>
      </c>
    </row>
    <row r="442" spans="1:6" ht="15.75">
      <c r="A442" s="136">
        <v>52</v>
      </c>
      <c r="B442" s="524" t="s">
        <v>3394</v>
      </c>
      <c r="C442" s="524" t="s">
        <v>3395</v>
      </c>
      <c r="D442" s="524">
        <v>140</v>
      </c>
      <c r="E442" s="524">
        <v>84200</v>
      </c>
      <c r="F442" s="555">
        <v>11788000</v>
      </c>
    </row>
    <row r="443" spans="1:6" ht="15.75">
      <c r="A443" s="136">
        <v>53</v>
      </c>
      <c r="B443" s="523" t="s">
        <v>3396</v>
      </c>
      <c r="C443" s="523" t="s">
        <v>286</v>
      </c>
      <c r="D443" s="523">
        <v>50</v>
      </c>
      <c r="E443" s="523">
        <v>24000</v>
      </c>
      <c r="F443" s="556">
        <v>1200000</v>
      </c>
    </row>
    <row r="444" spans="1:6" ht="15.75">
      <c r="A444" s="136">
        <v>54</v>
      </c>
      <c r="B444" s="524" t="s">
        <v>3397</v>
      </c>
      <c r="C444" s="524" t="s">
        <v>286</v>
      </c>
      <c r="D444" s="524">
        <v>30</v>
      </c>
      <c r="E444" s="524">
        <v>58000</v>
      </c>
      <c r="F444" s="555">
        <v>1740000</v>
      </c>
    </row>
    <row r="445" spans="1:6" ht="15.75">
      <c r="A445" s="136">
        <v>55</v>
      </c>
      <c r="B445" s="523" t="s">
        <v>3398</v>
      </c>
      <c r="C445" s="523" t="s">
        <v>286</v>
      </c>
      <c r="D445" s="523">
        <v>25</v>
      </c>
      <c r="E445" s="523">
        <v>10000</v>
      </c>
      <c r="F445" s="556">
        <v>250000</v>
      </c>
    </row>
    <row r="446" spans="1:6" ht="15.75">
      <c r="A446" s="136">
        <v>56</v>
      </c>
      <c r="B446" s="524" t="s">
        <v>3147</v>
      </c>
      <c r="C446" s="524" t="s">
        <v>3282</v>
      </c>
      <c r="D446" s="524">
        <v>12</v>
      </c>
      <c r="E446" s="524">
        <v>85000</v>
      </c>
      <c r="F446" s="555">
        <v>1020000</v>
      </c>
    </row>
    <row r="447" spans="1:6" ht="15.75">
      <c r="A447" s="136">
        <v>57</v>
      </c>
      <c r="B447" s="523" t="s">
        <v>3140</v>
      </c>
      <c r="C447" s="523" t="s">
        <v>286</v>
      </c>
      <c r="D447" s="523">
        <v>100</v>
      </c>
      <c r="E447" s="523">
        <v>3800</v>
      </c>
      <c r="F447" s="556">
        <v>380000</v>
      </c>
    </row>
    <row r="448" spans="1:6" ht="15.75">
      <c r="A448" s="136">
        <v>58</v>
      </c>
      <c r="B448" s="524" t="s">
        <v>3399</v>
      </c>
      <c r="C448" s="524" t="s">
        <v>286</v>
      </c>
      <c r="D448" s="524">
        <v>1000</v>
      </c>
      <c r="E448" s="524">
        <v>380</v>
      </c>
      <c r="F448" s="555">
        <v>380000</v>
      </c>
    </row>
    <row r="449" spans="1:6" ht="15.75">
      <c r="A449" s="136">
        <v>59</v>
      </c>
      <c r="B449" s="523" t="s">
        <v>3400</v>
      </c>
      <c r="C449" s="523" t="s">
        <v>27</v>
      </c>
      <c r="D449" s="523">
        <v>10</v>
      </c>
      <c r="E449" s="523">
        <v>25766</v>
      </c>
      <c r="F449" s="556">
        <v>257660</v>
      </c>
    </row>
    <row r="450" spans="1:6" ht="15.75">
      <c r="A450" s="136">
        <v>60</v>
      </c>
      <c r="B450" s="524" t="s">
        <v>3401</v>
      </c>
      <c r="C450" s="524" t="s">
        <v>27</v>
      </c>
      <c r="D450" s="524">
        <v>920</v>
      </c>
      <c r="E450" s="524">
        <v>1650</v>
      </c>
      <c r="F450" s="555">
        <v>1518000</v>
      </c>
    </row>
    <row r="451" spans="1:6" ht="15.75">
      <c r="A451" s="136">
        <v>61</v>
      </c>
      <c r="B451" s="523" t="s">
        <v>3402</v>
      </c>
      <c r="C451" s="523" t="s">
        <v>432</v>
      </c>
      <c r="D451" s="523">
        <v>80</v>
      </c>
      <c r="E451" s="534">
        <v>6000</v>
      </c>
      <c r="F451" s="556">
        <v>480000</v>
      </c>
    </row>
    <row r="452" spans="1:6" ht="15.75">
      <c r="A452" s="136">
        <v>62</v>
      </c>
      <c r="B452" s="524" t="s">
        <v>3403</v>
      </c>
      <c r="C452" s="524" t="s">
        <v>27</v>
      </c>
      <c r="D452" s="524">
        <v>40</v>
      </c>
      <c r="E452" s="524">
        <v>39000</v>
      </c>
      <c r="F452" s="555">
        <v>1560000</v>
      </c>
    </row>
    <row r="453" spans="1:6" ht="15.75">
      <c r="A453" s="136">
        <v>63</v>
      </c>
      <c r="B453" s="523" t="s">
        <v>3404</v>
      </c>
      <c r="C453" s="523" t="s">
        <v>27</v>
      </c>
      <c r="D453" s="523">
        <v>30</v>
      </c>
      <c r="E453" s="523">
        <v>30000</v>
      </c>
      <c r="F453" s="556">
        <v>900000</v>
      </c>
    </row>
    <row r="454" spans="1:6" ht="31.5">
      <c r="A454" s="136">
        <v>64</v>
      </c>
      <c r="B454" s="524" t="s">
        <v>3312</v>
      </c>
      <c r="C454" s="524" t="s">
        <v>27</v>
      </c>
      <c r="D454" s="533">
        <v>20</v>
      </c>
      <c r="E454" s="526">
        <v>25000</v>
      </c>
      <c r="F454" s="555">
        <v>500000</v>
      </c>
    </row>
    <row r="455" spans="1:6" ht="31.5">
      <c r="A455" s="136">
        <v>65</v>
      </c>
      <c r="B455" s="545" t="s">
        <v>3405</v>
      </c>
      <c r="C455" s="545" t="s">
        <v>286</v>
      </c>
      <c r="D455" s="545">
        <v>6</v>
      </c>
      <c r="E455" s="527">
        <v>300000</v>
      </c>
      <c r="F455" s="556">
        <v>1800000</v>
      </c>
    </row>
    <row r="456" spans="1:6" ht="31.5">
      <c r="A456" s="136">
        <v>66</v>
      </c>
      <c r="B456" s="547" t="s">
        <v>3406</v>
      </c>
      <c r="C456" s="547" t="s">
        <v>286</v>
      </c>
      <c r="D456" s="547">
        <v>1</v>
      </c>
      <c r="E456" s="526">
        <v>700000</v>
      </c>
      <c r="F456" s="555">
        <v>700000</v>
      </c>
    </row>
    <row r="457" spans="1:6" ht="31.5">
      <c r="A457" s="136">
        <v>67</v>
      </c>
      <c r="B457" s="523" t="s">
        <v>3312</v>
      </c>
      <c r="C457" s="523" t="s">
        <v>27</v>
      </c>
      <c r="D457" s="589">
        <v>21.6</v>
      </c>
      <c r="E457" s="527">
        <v>30000</v>
      </c>
      <c r="F457" s="556">
        <v>648000</v>
      </c>
    </row>
    <row r="458" spans="1:6" ht="15.75">
      <c r="A458" s="136">
        <v>68</v>
      </c>
      <c r="B458" s="547" t="s">
        <v>3407</v>
      </c>
      <c r="C458" s="547" t="s">
        <v>286</v>
      </c>
      <c r="D458" s="547">
        <v>2700</v>
      </c>
      <c r="E458" s="526">
        <v>4500</v>
      </c>
      <c r="F458" s="555">
        <v>12150000</v>
      </c>
    </row>
    <row r="459" spans="1:6" ht="15.75">
      <c r="A459" s="136">
        <v>69</v>
      </c>
      <c r="B459" s="549" t="s">
        <v>3408</v>
      </c>
      <c r="C459" s="549" t="s">
        <v>286</v>
      </c>
      <c r="D459" s="550">
        <v>37</v>
      </c>
      <c r="E459" s="550">
        <v>25000</v>
      </c>
      <c r="F459" s="556">
        <v>925000</v>
      </c>
    </row>
    <row r="460" spans="1:6" ht="15.75">
      <c r="A460" s="136">
        <v>70</v>
      </c>
      <c r="B460" s="524" t="s">
        <v>3409</v>
      </c>
      <c r="C460" s="524" t="s">
        <v>432</v>
      </c>
      <c r="D460" s="524">
        <v>200</v>
      </c>
      <c r="E460" s="551">
        <v>12000</v>
      </c>
      <c r="F460" s="555">
        <v>2400000</v>
      </c>
    </row>
    <row r="461" spans="1:6" ht="15.75">
      <c r="A461" s="136">
        <v>71</v>
      </c>
      <c r="B461" s="523" t="s">
        <v>110</v>
      </c>
      <c r="C461" s="523" t="s">
        <v>286</v>
      </c>
      <c r="D461" s="523">
        <v>35</v>
      </c>
      <c r="E461" s="550">
        <v>30000</v>
      </c>
      <c r="F461" s="556">
        <v>1050000</v>
      </c>
    </row>
    <row r="462" spans="1:6" ht="15.75">
      <c r="A462" s="136">
        <v>72</v>
      </c>
      <c r="B462" s="524" t="s">
        <v>110</v>
      </c>
      <c r="C462" s="524" t="s">
        <v>27</v>
      </c>
      <c r="D462" s="524">
        <v>10</v>
      </c>
      <c r="E462" s="551">
        <v>25000</v>
      </c>
      <c r="F462" s="555">
        <v>250000</v>
      </c>
    </row>
    <row r="463" spans="1:6" ht="15.75">
      <c r="A463" s="136">
        <v>73</v>
      </c>
      <c r="B463" s="549" t="s">
        <v>3410</v>
      </c>
      <c r="C463" s="549" t="s">
        <v>286</v>
      </c>
      <c r="D463" s="550">
        <v>90</v>
      </c>
      <c r="E463" s="550">
        <v>4000</v>
      </c>
      <c r="F463" s="556">
        <v>360000</v>
      </c>
    </row>
    <row r="464" spans="1:6" ht="15.75">
      <c r="A464" s="136">
        <v>74</v>
      </c>
      <c r="B464" s="543" t="s">
        <v>3411</v>
      </c>
      <c r="C464" s="543" t="s">
        <v>286</v>
      </c>
      <c r="D464" s="551">
        <v>10</v>
      </c>
      <c r="E464" s="551">
        <v>4000</v>
      </c>
      <c r="F464" s="555">
        <v>40000</v>
      </c>
    </row>
    <row r="465" spans="1:6" ht="15.75">
      <c r="A465" s="136">
        <v>75</v>
      </c>
      <c r="B465" s="549" t="s">
        <v>3412</v>
      </c>
      <c r="C465" s="549" t="s">
        <v>286</v>
      </c>
      <c r="D465" s="550">
        <v>50</v>
      </c>
      <c r="E465" s="550">
        <v>4000</v>
      </c>
      <c r="F465" s="556">
        <v>200000</v>
      </c>
    </row>
    <row r="466" spans="1:6" ht="15.75">
      <c r="A466" s="136">
        <v>76</v>
      </c>
      <c r="B466" s="543" t="s">
        <v>3412</v>
      </c>
      <c r="C466" s="543" t="s">
        <v>286</v>
      </c>
      <c r="D466" s="551">
        <v>20</v>
      </c>
      <c r="E466" s="551">
        <v>4000</v>
      </c>
      <c r="F466" s="555">
        <v>80000</v>
      </c>
    </row>
    <row r="467" spans="1:6" ht="15.75">
      <c r="A467" s="136">
        <v>77</v>
      </c>
      <c r="B467" s="549" t="s">
        <v>3413</v>
      </c>
      <c r="C467" s="549" t="s">
        <v>286</v>
      </c>
      <c r="D467" s="550">
        <v>40</v>
      </c>
      <c r="E467" s="550">
        <v>4000</v>
      </c>
      <c r="F467" s="556">
        <v>160000</v>
      </c>
    </row>
    <row r="468" spans="1:6" ht="15.75">
      <c r="A468" s="136">
        <v>78</v>
      </c>
      <c r="B468" s="543" t="s">
        <v>3413</v>
      </c>
      <c r="C468" s="543" t="s">
        <v>286</v>
      </c>
      <c r="D468" s="551">
        <v>10</v>
      </c>
      <c r="E468" s="551">
        <v>4000</v>
      </c>
      <c r="F468" s="555">
        <v>40000</v>
      </c>
    </row>
    <row r="469" spans="1:6" ht="15.75">
      <c r="A469" s="136">
        <v>79</v>
      </c>
      <c r="B469" s="549" t="s">
        <v>3412</v>
      </c>
      <c r="C469" s="549" t="s">
        <v>286</v>
      </c>
      <c r="D469" s="550">
        <v>10</v>
      </c>
      <c r="E469" s="550">
        <v>4000</v>
      </c>
      <c r="F469" s="556">
        <v>40000</v>
      </c>
    </row>
    <row r="470" spans="1:6" ht="15.75">
      <c r="A470" s="136">
        <v>80</v>
      </c>
      <c r="B470" s="543" t="s">
        <v>3414</v>
      </c>
      <c r="C470" s="543" t="s">
        <v>286</v>
      </c>
      <c r="D470" s="551">
        <v>40</v>
      </c>
      <c r="E470" s="551">
        <v>25000</v>
      </c>
      <c r="F470" s="555">
        <v>1000000</v>
      </c>
    </row>
    <row r="471" spans="1:6" ht="15.75">
      <c r="A471" s="136">
        <v>81</v>
      </c>
      <c r="B471" s="549" t="s">
        <v>3415</v>
      </c>
      <c r="C471" s="549" t="s">
        <v>286</v>
      </c>
      <c r="D471" s="550">
        <v>30</v>
      </c>
      <c r="E471" s="550">
        <v>15000</v>
      </c>
      <c r="F471" s="556">
        <v>450000</v>
      </c>
    </row>
    <row r="472" spans="1:6" ht="15.75">
      <c r="A472" s="136">
        <v>82</v>
      </c>
      <c r="B472" s="543" t="s">
        <v>3416</v>
      </c>
      <c r="C472" s="543" t="s">
        <v>286</v>
      </c>
      <c r="D472" s="551">
        <v>20</v>
      </c>
      <c r="E472" s="551">
        <v>15000</v>
      </c>
      <c r="F472" s="555">
        <v>300000</v>
      </c>
    </row>
    <row r="473" spans="1:6" ht="15.75">
      <c r="A473" s="136">
        <v>83</v>
      </c>
      <c r="B473" s="549" t="s">
        <v>3310</v>
      </c>
      <c r="C473" s="549" t="s">
        <v>286</v>
      </c>
      <c r="D473" s="550">
        <v>10</v>
      </c>
      <c r="E473" s="550">
        <v>18000</v>
      </c>
      <c r="F473" s="556">
        <v>180000</v>
      </c>
    </row>
    <row r="474" spans="1:6" ht="15.75">
      <c r="A474" s="136">
        <v>84</v>
      </c>
      <c r="B474" s="543" t="s">
        <v>3417</v>
      </c>
      <c r="C474" s="543" t="s">
        <v>286</v>
      </c>
      <c r="D474" s="551">
        <v>4</v>
      </c>
      <c r="E474" s="551">
        <v>60000</v>
      </c>
      <c r="F474" s="555">
        <v>240000</v>
      </c>
    </row>
    <row r="475" spans="1:6" ht="15.75">
      <c r="A475" s="136">
        <v>85</v>
      </c>
      <c r="B475" s="549" t="s">
        <v>3418</v>
      </c>
      <c r="C475" s="549" t="s">
        <v>286</v>
      </c>
      <c r="D475" s="550">
        <v>3</v>
      </c>
      <c r="E475" s="550">
        <v>50000</v>
      </c>
      <c r="F475" s="556">
        <v>150000</v>
      </c>
    </row>
    <row r="476" spans="1:6" ht="15.75">
      <c r="A476" s="136">
        <v>86</v>
      </c>
      <c r="B476" s="543" t="s">
        <v>3419</v>
      </c>
      <c r="C476" s="543" t="s">
        <v>286</v>
      </c>
      <c r="D476" s="551">
        <v>8</v>
      </c>
      <c r="E476" s="551">
        <v>35000</v>
      </c>
      <c r="F476" s="555">
        <v>280000</v>
      </c>
    </row>
    <row r="477" spans="1:6" ht="15.75">
      <c r="A477" s="136">
        <v>87</v>
      </c>
      <c r="B477" s="549" t="s">
        <v>3420</v>
      </c>
      <c r="C477" s="549" t="s">
        <v>286</v>
      </c>
      <c r="D477" s="550">
        <v>20</v>
      </c>
      <c r="E477" s="550">
        <v>40000</v>
      </c>
      <c r="F477" s="556">
        <v>800000</v>
      </c>
    </row>
    <row r="478" spans="1:6" ht="15.75">
      <c r="A478" s="136">
        <v>88</v>
      </c>
      <c r="B478" s="543" t="s">
        <v>3421</v>
      </c>
      <c r="C478" s="543" t="s">
        <v>286</v>
      </c>
      <c r="D478" s="551">
        <v>4</v>
      </c>
      <c r="E478" s="551">
        <v>320000</v>
      </c>
      <c r="F478" s="555">
        <v>1280000</v>
      </c>
    </row>
    <row r="479" spans="1:6" ht="15.75">
      <c r="A479" s="136">
        <v>89</v>
      </c>
      <c r="B479" s="549" t="s">
        <v>3422</v>
      </c>
      <c r="C479" s="549" t="s">
        <v>286</v>
      </c>
      <c r="D479" s="550">
        <v>20</v>
      </c>
      <c r="E479" s="550">
        <v>25000</v>
      </c>
      <c r="F479" s="556">
        <v>500000</v>
      </c>
    </row>
    <row r="480" spans="1:6" ht="15.75">
      <c r="A480" s="136">
        <v>90</v>
      </c>
      <c r="B480" s="543" t="s">
        <v>3423</v>
      </c>
      <c r="C480" s="543" t="s">
        <v>286</v>
      </c>
      <c r="D480" s="551">
        <v>20</v>
      </c>
      <c r="E480" s="551">
        <v>25000</v>
      </c>
      <c r="F480" s="555">
        <v>500000</v>
      </c>
    </row>
    <row r="481" spans="1:6" ht="15.75">
      <c r="A481" s="136">
        <v>91</v>
      </c>
      <c r="B481" s="549" t="s">
        <v>3424</v>
      </c>
      <c r="C481" s="549" t="s">
        <v>286</v>
      </c>
      <c r="D481" s="550">
        <v>4</v>
      </c>
      <c r="E481" s="550">
        <v>50000</v>
      </c>
      <c r="F481" s="556">
        <v>200000</v>
      </c>
    </row>
    <row r="482" spans="1:6" ht="15.75">
      <c r="A482" s="136">
        <v>92</v>
      </c>
      <c r="B482" s="543" t="s">
        <v>3425</v>
      </c>
      <c r="C482" s="543" t="s">
        <v>286</v>
      </c>
      <c r="D482" s="551">
        <v>10</v>
      </c>
      <c r="E482" s="551">
        <v>15000</v>
      </c>
      <c r="F482" s="555">
        <v>150000</v>
      </c>
    </row>
    <row r="483" spans="1:6" ht="15.75">
      <c r="A483" s="136">
        <v>93</v>
      </c>
      <c r="B483" s="549" t="s">
        <v>3426</v>
      </c>
      <c r="C483" s="549" t="s">
        <v>27</v>
      </c>
      <c r="D483" s="550">
        <v>1000</v>
      </c>
      <c r="E483" s="550">
        <v>2500</v>
      </c>
      <c r="F483" s="556">
        <v>2500000</v>
      </c>
    </row>
    <row r="484" spans="1:6" ht="15.75">
      <c r="A484" s="136">
        <v>94</v>
      </c>
      <c r="B484" s="543" t="s">
        <v>3427</v>
      </c>
      <c r="C484" s="543" t="s">
        <v>286</v>
      </c>
      <c r="D484" s="551">
        <v>30</v>
      </c>
      <c r="E484" s="551">
        <v>40000</v>
      </c>
      <c r="F484" s="555">
        <v>1200000</v>
      </c>
    </row>
    <row r="485" spans="1:6" ht="15.75">
      <c r="A485" s="136">
        <v>95</v>
      </c>
      <c r="B485" s="549" t="s">
        <v>3428</v>
      </c>
      <c r="C485" s="549" t="s">
        <v>432</v>
      </c>
      <c r="D485" s="550">
        <v>50</v>
      </c>
      <c r="E485" s="550">
        <v>20000</v>
      </c>
      <c r="F485" s="556">
        <v>1000000</v>
      </c>
    </row>
    <row r="486" spans="1:6" ht="15.75">
      <c r="A486" s="136">
        <v>96</v>
      </c>
      <c r="B486" s="543" t="s">
        <v>3429</v>
      </c>
      <c r="C486" s="543" t="s">
        <v>286</v>
      </c>
      <c r="D486" s="551">
        <v>20</v>
      </c>
      <c r="E486" s="551">
        <v>10000</v>
      </c>
      <c r="F486" s="555">
        <v>200000</v>
      </c>
    </row>
    <row r="487" spans="1:6" ht="15.75">
      <c r="A487" s="136">
        <v>97</v>
      </c>
      <c r="B487" s="523" t="s">
        <v>3430</v>
      </c>
      <c r="C487" s="523" t="s">
        <v>432</v>
      </c>
      <c r="D487" s="523">
        <v>60000</v>
      </c>
      <c r="E487" s="523">
        <v>100</v>
      </c>
      <c r="F487" s="556">
        <v>6000000</v>
      </c>
    </row>
    <row r="488" spans="1:6" ht="15.75">
      <c r="A488" s="136">
        <v>98</v>
      </c>
      <c r="B488" s="524" t="s">
        <v>3431</v>
      </c>
      <c r="C488" s="524" t="s">
        <v>27</v>
      </c>
      <c r="D488" s="524">
        <v>5</v>
      </c>
      <c r="E488" s="524">
        <v>31000</v>
      </c>
      <c r="F488" s="555">
        <v>155000</v>
      </c>
    </row>
    <row r="489" spans="1:6" ht="15.75">
      <c r="A489" s="136">
        <v>99</v>
      </c>
      <c r="B489" s="523" t="s">
        <v>3432</v>
      </c>
      <c r="C489" s="523" t="s">
        <v>286</v>
      </c>
      <c r="D489" s="523">
        <v>10</v>
      </c>
      <c r="E489" s="523">
        <v>28000</v>
      </c>
      <c r="F489" s="556">
        <v>280000</v>
      </c>
    </row>
    <row r="490" spans="1:6" ht="15.75">
      <c r="A490" s="136">
        <v>100</v>
      </c>
      <c r="B490" s="524" t="s">
        <v>3433</v>
      </c>
      <c r="C490" s="524" t="s">
        <v>27</v>
      </c>
      <c r="D490" s="524">
        <v>50</v>
      </c>
      <c r="E490" s="524">
        <v>5000</v>
      </c>
      <c r="F490" s="555">
        <v>250000</v>
      </c>
    </row>
    <row r="491" spans="1:6" ht="15.75">
      <c r="A491" s="136">
        <v>101</v>
      </c>
      <c r="B491" s="523" t="s">
        <v>3434</v>
      </c>
      <c r="C491" s="523" t="s">
        <v>432</v>
      </c>
      <c r="D491" s="523">
        <v>50</v>
      </c>
      <c r="E491" s="523">
        <v>13000</v>
      </c>
      <c r="F491" s="556">
        <v>650000</v>
      </c>
    </row>
    <row r="492" spans="1:6" ht="15.75">
      <c r="A492" s="136">
        <v>102</v>
      </c>
      <c r="B492" s="524" t="s">
        <v>3435</v>
      </c>
      <c r="C492" s="524" t="s">
        <v>27</v>
      </c>
      <c r="D492" s="524">
        <v>60</v>
      </c>
      <c r="E492" s="524">
        <v>45000</v>
      </c>
      <c r="F492" s="555">
        <v>2700000</v>
      </c>
    </row>
    <row r="493" spans="1:6" ht="15.75">
      <c r="A493" s="136">
        <v>103</v>
      </c>
      <c r="B493" s="523" t="s">
        <v>3435</v>
      </c>
      <c r="C493" s="523" t="s">
        <v>27</v>
      </c>
      <c r="D493" s="523">
        <v>50</v>
      </c>
      <c r="E493" s="523">
        <v>45000</v>
      </c>
      <c r="F493" s="556">
        <v>2250000</v>
      </c>
    </row>
    <row r="494" spans="1:6" ht="15.75">
      <c r="A494" s="136">
        <v>104</v>
      </c>
      <c r="B494" s="524" t="s">
        <v>3436</v>
      </c>
      <c r="C494" s="524" t="s">
        <v>390</v>
      </c>
      <c r="D494" s="524">
        <v>35</v>
      </c>
      <c r="E494" s="524">
        <v>17000</v>
      </c>
      <c r="F494" s="555">
        <v>595000</v>
      </c>
    </row>
    <row r="495" spans="1:6" ht="15.75">
      <c r="A495" s="136">
        <v>105</v>
      </c>
      <c r="B495" s="523" t="s">
        <v>3437</v>
      </c>
      <c r="C495" s="523" t="s">
        <v>27</v>
      </c>
      <c r="D495" s="523">
        <v>40</v>
      </c>
      <c r="E495" s="523">
        <v>8000</v>
      </c>
      <c r="F495" s="556">
        <v>320000</v>
      </c>
    </row>
    <row r="496" spans="1:6" ht="15.75">
      <c r="A496" s="136">
        <v>106</v>
      </c>
      <c r="B496" s="524" t="s">
        <v>3438</v>
      </c>
      <c r="C496" s="524" t="s">
        <v>286</v>
      </c>
      <c r="D496" s="524">
        <v>20</v>
      </c>
      <c r="E496" s="524">
        <v>15000</v>
      </c>
      <c r="F496" s="555">
        <v>300000</v>
      </c>
    </row>
    <row r="497" spans="1:6" ht="15.75">
      <c r="A497" s="136">
        <v>107</v>
      </c>
      <c r="B497" s="523" t="s">
        <v>3439</v>
      </c>
      <c r="C497" s="523" t="s">
        <v>27</v>
      </c>
      <c r="D497" s="523">
        <v>5</v>
      </c>
      <c r="E497" s="523">
        <v>30000</v>
      </c>
      <c r="F497" s="556">
        <v>150000</v>
      </c>
    </row>
    <row r="498" spans="1:6" ht="15.75">
      <c r="A498" s="136">
        <v>108</v>
      </c>
      <c r="B498" s="524" t="s">
        <v>3440</v>
      </c>
      <c r="C498" s="524" t="s">
        <v>27</v>
      </c>
      <c r="D498" s="524">
        <v>100</v>
      </c>
      <c r="E498" s="524">
        <v>10000</v>
      </c>
      <c r="F498" s="555">
        <v>1000000</v>
      </c>
    </row>
    <row r="499" spans="1:6" ht="15.75">
      <c r="A499" s="136">
        <v>109</v>
      </c>
      <c r="B499" s="537" t="s">
        <v>3441</v>
      </c>
      <c r="C499" s="549" t="s">
        <v>27</v>
      </c>
      <c r="D499" s="549">
        <v>15</v>
      </c>
      <c r="E499" s="553">
        <v>33000</v>
      </c>
      <c r="F499" s="556">
        <v>495000</v>
      </c>
    </row>
    <row r="500" spans="1:6" ht="15.75">
      <c r="A500" s="136">
        <v>110</v>
      </c>
      <c r="B500" s="524" t="s">
        <v>3442</v>
      </c>
      <c r="C500" s="524" t="s">
        <v>385</v>
      </c>
      <c r="D500" s="524">
        <v>20</v>
      </c>
      <c r="E500" s="533">
        <v>135000</v>
      </c>
      <c r="F500" s="555">
        <v>2700000</v>
      </c>
    </row>
    <row r="501" spans="1:6" ht="15.75">
      <c r="A501" s="136">
        <v>111</v>
      </c>
      <c r="B501" s="523" t="s">
        <v>3443</v>
      </c>
      <c r="C501" s="523" t="s">
        <v>385</v>
      </c>
      <c r="D501" s="549">
        <v>20</v>
      </c>
      <c r="E501" s="553">
        <v>75000</v>
      </c>
      <c r="F501" s="556">
        <v>1500000</v>
      </c>
    </row>
    <row r="502" spans="1:6" ht="15.75">
      <c r="A502" s="136">
        <v>112</v>
      </c>
      <c r="B502" s="543" t="s">
        <v>3444</v>
      </c>
      <c r="C502" s="543" t="s">
        <v>432</v>
      </c>
      <c r="D502" s="543">
        <v>30</v>
      </c>
      <c r="E502" s="554">
        <v>180000</v>
      </c>
      <c r="F502" s="555">
        <v>5400000</v>
      </c>
    </row>
    <row r="503" spans="1:6" ht="15.75">
      <c r="A503" s="136">
        <v>113</v>
      </c>
      <c r="B503" s="523" t="s">
        <v>3445</v>
      </c>
      <c r="C503" s="549" t="s">
        <v>432</v>
      </c>
      <c r="D503" s="549">
        <v>400</v>
      </c>
      <c r="E503" s="553">
        <v>12000</v>
      </c>
      <c r="F503" s="556">
        <v>4800000</v>
      </c>
    </row>
    <row r="504" spans="1:6" ht="31.5">
      <c r="A504" s="136">
        <v>114</v>
      </c>
      <c r="B504" s="524" t="s">
        <v>3446</v>
      </c>
      <c r="C504" s="543" t="s">
        <v>286</v>
      </c>
      <c r="D504" s="543">
        <v>7</v>
      </c>
      <c r="E504" s="554">
        <v>95000</v>
      </c>
      <c r="F504" s="555">
        <v>665000</v>
      </c>
    </row>
    <row r="505" spans="1:6" ht="15.75">
      <c r="A505" s="136">
        <v>115</v>
      </c>
      <c r="B505" s="523" t="s">
        <v>3447</v>
      </c>
      <c r="C505" s="523" t="s">
        <v>286</v>
      </c>
      <c r="D505" s="523">
        <v>15</v>
      </c>
      <c r="E505" s="556">
        <v>45000</v>
      </c>
      <c r="F505" s="556">
        <v>675000</v>
      </c>
    </row>
    <row r="506" spans="1:6" ht="15.75">
      <c r="A506" s="136">
        <v>116</v>
      </c>
      <c r="B506" s="524" t="s">
        <v>3448</v>
      </c>
      <c r="C506" s="524" t="s">
        <v>286</v>
      </c>
      <c r="D506" s="524">
        <v>20</v>
      </c>
      <c r="E506" s="555">
        <v>30000</v>
      </c>
      <c r="F506" s="555">
        <v>600000</v>
      </c>
    </row>
    <row r="507" spans="1:6" ht="15.75">
      <c r="A507" s="136">
        <v>117</v>
      </c>
      <c r="B507" s="523" t="s">
        <v>3396</v>
      </c>
      <c r="C507" s="523" t="s">
        <v>286</v>
      </c>
      <c r="D507" s="523">
        <v>20</v>
      </c>
      <c r="E507" s="556">
        <v>30000</v>
      </c>
      <c r="F507" s="556">
        <v>600000</v>
      </c>
    </row>
    <row r="508" spans="1:6" ht="15.75">
      <c r="A508" s="136">
        <v>118</v>
      </c>
      <c r="B508" s="524" t="s">
        <v>3449</v>
      </c>
      <c r="C508" s="524" t="s">
        <v>286</v>
      </c>
      <c r="D508" s="524">
        <v>5</v>
      </c>
      <c r="E508" s="555">
        <v>40000</v>
      </c>
      <c r="F508" s="555">
        <v>200000</v>
      </c>
    </row>
    <row r="509" spans="1:6" ht="15.75">
      <c r="A509" s="136">
        <v>119</v>
      </c>
      <c r="B509" s="523" t="s">
        <v>3450</v>
      </c>
      <c r="C509" s="523" t="s">
        <v>286</v>
      </c>
      <c r="D509" s="523">
        <v>5</v>
      </c>
      <c r="E509" s="556">
        <v>62000</v>
      </c>
      <c r="F509" s="556">
        <v>310000</v>
      </c>
    </row>
    <row r="510" spans="1:6" ht="15.75">
      <c r="A510" s="136">
        <v>120</v>
      </c>
      <c r="B510" s="524" t="s">
        <v>3451</v>
      </c>
      <c r="C510" s="524" t="s">
        <v>286</v>
      </c>
      <c r="D510" s="524">
        <v>3</v>
      </c>
      <c r="E510" s="555">
        <v>500000</v>
      </c>
      <c r="F510" s="555">
        <v>1500000</v>
      </c>
    </row>
    <row r="511" spans="1:6" ht="15.75">
      <c r="A511" s="136">
        <v>121</v>
      </c>
      <c r="B511" s="523" t="s">
        <v>3452</v>
      </c>
      <c r="C511" s="523" t="s">
        <v>286</v>
      </c>
      <c r="D511" s="523">
        <v>2</v>
      </c>
      <c r="E511" s="556">
        <v>600000</v>
      </c>
      <c r="F511" s="556">
        <v>1200000</v>
      </c>
    </row>
    <row r="512" spans="1:6" ht="15.75">
      <c r="A512" s="136">
        <v>122</v>
      </c>
      <c r="B512" s="524" t="s">
        <v>3453</v>
      </c>
      <c r="C512" s="524" t="s">
        <v>286</v>
      </c>
      <c r="D512" s="524">
        <v>5</v>
      </c>
      <c r="E512" s="555">
        <v>45000</v>
      </c>
      <c r="F512" s="555">
        <v>225000</v>
      </c>
    </row>
    <row r="513" spans="1:6" ht="15.75">
      <c r="A513" s="136">
        <v>123</v>
      </c>
      <c r="B513" s="523" t="s">
        <v>3454</v>
      </c>
      <c r="C513" s="523" t="s">
        <v>27</v>
      </c>
      <c r="D513" s="523">
        <v>30</v>
      </c>
      <c r="E513" s="556">
        <v>70000</v>
      </c>
      <c r="F513" s="556">
        <v>2100000</v>
      </c>
    </row>
    <row r="514" spans="1:6" ht="15.75">
      <c r="A514" s="136">
        <v>124</v>
      </c>
      <c r="B514" s="524" t="s">
        <v>3455</v>
      </c>
      <c r="C514" s="524" t="s">
        <v>27</v>
      </c>
      <c r="D514" s="524">
        <v>20</v>
      </c>
      <c r="E514" s="555">
        <v>70000</v>
      </c>
      <c r="F514" s="555">
        <v>1400000</v>
      </c>
    </row>
    <row r="515" spans="1:6" ht="15.75">
      <c r="A515" s="136">
        <v>125</v>
      </c>
      <c r="B515" s="523" t="s">
        <v>3456</v>
      </c>
      <c r="C515" s="523" t="s">
        <v>27</v>
      </c>
      <c r="D515" s="523">
        <v>10</v>
      </c>
      <c r="E515" s="556">
        <v>70000</v>
      </c>
      <c r="F515" s="556">
        <v>700000</v>
      </c>
    </row>
    <row r="516" spans="1:6" ht="15.75">
      <c r="A516" s="136">
        <v>126</v>
      </c>
      <c r="B516" s="524" t="s">
        <v>3457</v>
      </c>
      <c r="C516" s="524" t="s">
        <v>89</v>
      </c>
      <c r="D516" s="524">
        <v>5</v>
      </c>
      <c r="E516" s="555">
        <v>900000</v>
      </c>
      <c r="F516" s="555">
        <v>4500000</v>
      </c>
    </row>
    <row r="517" spans="1:6" ht="31.5">
      <c r="A517" s="136">
        <v>127</v>
      </c>
      <c r="B517" s="523" t="s">
        <v>3458</v>
      </c>
      <c r="C517" s="523" t="s">
        <v>791</v>
      </c>
      <c r="D517" s="523">
        <v>1</v>
      </c>
      <c r="E517" s="534">
        <v>1100000</v>
      </c>
      <c r="F517" s="556">
        <v>1100000</v>
      </c>
    </row>
    <row r="518" spans="1:6" ht="15.75">
      <c r="A518" s="136">
        <v>128</v>
      </c>
      <c r="B518" s="524" t="s">
        <v>3459</v>
      </c>
      <c r="C518" s="524" t="s">
        <v>286</v>
      </c>
      <c r="D518" s="524">
        <v>4</v>
      </c>
      <c r="E518" s="533">
        <v>100000</v>
      </c>
      <c r="F518" s="555">
        <v>400000</v>
      </c>
    </row>
    <row r="519" spans="1:6" ht="15.75">
      <c r="A519" s="136">
        <v>129</v>
      </c>
      <c r="B519" s="523" t="s">
        <v>3460</v>
      </c>
      <c r="C519" s="523" t="s">
        <v>286</v>
      </c>
      <c r="D519" s="523">
        <v>1</v>
      </c>
      <c r="E519" s="534">
        <v>250000</v>
      </c>
      <c r="F519" s="556">
        <v>250000</v>
      </c>
    </row>
    <row r="520" spans="1:6" ht="15.75">
      <c r="A520" s="136">
        <v>130</v>
      </c>
      <c r="B520" s="524" t="s">
        <v>3461</v>
      </c>
      <c r="C520" s="524" t="s">
        <v>286</v>
      </c>
      <c r="D520" s="524">
        <v>1</v>
      </c>
      <c r="E520" s="533">
        <v>200000</v>
      </c>
      <c r="F520" s="555">
        <v>200000</v>
      </c>
    </row>
    <row r="521" spans="1:6" ht="31.5">
      <c r="A521" s="136">
        <v>131</v>
      </c>
      <c r="B521" s="523" t="s">
        <v>3239</v>
      </c>
      <c r="C521" s="523" t="s">
        <v>286</v>
      </c>
      <c r="D521" s="523">
        <v>6</v>
      </c>
      <c r="E521" s="534">
        <v>150000</v>
      </c>
      <c r="F521" s="556">
        <v>900000</v>
      </c>
    </row>
    <row r="522" spans="1:6" ht="15.75">
      <c r="A522" s="136">
        <v>132</v>
      </c>
      <c r="B522" s="524" t="s">
        <v>3462</v>
      </c>
      <c r="C522" s="524" t="s">
        <v>286</v>
      </c>
      <c r="D522" s="563">
        <v>8</v>
      </c>
      <c r="E522" s="563">
        <v>400000</v>
      </c>
      <c r="F522" s="555">
        <v>3200000</v>
      </c>
    </row>
    <row r="523" spans="1:6" ht="15.75">
      <c r="A523" s="136">
        <v>133</v>
      </c>
      <c r="B523" s="523" t="s">
        <v>3463</v>
      </c>
      <c r="C523" s="523" t="s">
        <v>27</v>
      </c>
      <c r="D523" s="562">
        <v>10</v>
      </c>
      <c r="E523" s="562">
        <v>18000</v>
      </c>
      <c r="F523" s="556">
        <v>180000</v>
      </c>
    </row>
    <row r="524" spans="1:6" ht="15.75">
      <c r="A524" s="136">
        <v>134</v>
      </c>
      <c r="B524" s="543" t="s">
        <v>3464</v>
      </c>
      <c r="C524" s="524" t="s">
        <v>27</v>
      </c>
      <c r="D524" s="563">
        <v>10</v>
      </c>
      <c r="E524" s="563">
        <v>20000</v>
      </c>
      <c r="F524" s="555">
        <v>200000</v>
      </c>
    </row>
    <row r="525" spans="1:6" ht="15.75">
      <c r="A525" s="136">
        <v>135</v>
      </c>
      <c r="B525" s="549" t="s">
        <v>3465</v>
      </c>
      <c r="C525" s="523" t="s">
        <v>27</v>
      </c>
      <c r="D525" s="562">
        <v>5</v>
      </c>
      <c r="E525" s="562">
        <v>30000</v>
      </c>
      <c r="F525" s="556">
        <v>150000</v>
      </c>
    </row>
    <row r="526" spans="1:6" ht="15.75">
      <c r="A526" s="136">
        <v>136</v>
      </c>
      <c r="B526" s="543" t="s">
        <v>3466</v>
      </c>
      <c r="C526" s="524" t="s">
        <v>27</v>
      </c>
      <c r="D526" s="563">
        <v>15</v>
      </c>
      <c r="E526" s="563">
        <v>25000</v>
      </c>
      <c r="F526" s="555">
        <v>375000</v>
      </c>
    </row>
    <row r="527" spans="1:6" ht="15.75">
      <c r="A527" s="136">
        <v>137</v>
      </c>
      <c r="B527" s="549" t="s">
        <v>3467</v>
      </c>
      <c r="C527" s="523" t="s">
        <v>27</v>
      </c>
      <c r="D527" s="562">
        <v>6</v>
      </c>
      <c r="E527" s="562">
        <v>25000</v>
      </c>
      <c r="F527" s="556">
        <v>150000</v>
      </c>
    </row>
    <row r="528" spans="1:6" ht="15.75">
      <c r="A528" s="136">
        <v>138</v>
      </c>
      <c r="B528" s="543" t="s">
        <v>3468</v>
      </c>
      <c r="C528" s="524" t="s">
        <v>27</v>
      </c>
      <c r="D528" s="563">
        <v>15</v>
      </c>
      <c r="E528" s="563">
        <v>25000</v>
      </c>
      <c r="F528" s="555">
        <v>375000</v>
      </c>
    </row>
    <row r="529" spans="1:6" ht="15.75">
      <c r="A529" s="136">
        <v>139</v>
      </c>
      <c r="B529" s="549" t="s">
        <v>3469</v>
      </c>
      <c r="C529" s="523" t="s">
        <v>27</v>
      </c>
      <c r="D529" s="562">
        <v>15</v>
      </c>
      <c r="E529" s="562">
        <v>25000</v>
      </c>
      <c r="F529" s="556">
        <v>375000</v>
      </c>
    </row>
    <row r="530" spans="1:6" ht="15.75">
      <c r="A530" s="136">
        <v>140</v>
      </c>
      <c r="B530" s="543" t="s">
        <v>3470</v>
      </c>
      <c r="C530" s="524" t="s">
        <v>27</v>
      </c>
      <c r="D530" s="563">
        <v>9</v>
      </c>
      <c r="E530" s="563">
        <v>25000</v>
      </c>
      <c r="F530" s="555">
        <v>225000</v>
      </c>
    </row>
    <row r="531" spans="1:6" ht="15.75">
      <c r="A531" s="136">
        <v>141</v>
      </c>
      <c r="B531" s="549" t="s">
        <v>3471</v>
      </c>
      <c r="C531" s="523" t="s">
        <v>27</v>
      </c>
      <c r="D531" s="562">
        <v>9</v>
      </c>
      <c r="E531" s="562">
        <v>25000</v>
      </c>
      <c r="F531" s="556">
        <v>225000</v>
      </c>
    </row>
    <row r="532" spans="1:6" ht="15.75">
      <c r="A532" s="136">
        <v>142</v>
      </c>
      <c r="B532" s="524" t="s">
        <v>3472</v>
      </c>
      <c r="C532" s="524" t="s">
        <v>432</v>
      </c>
      <c r="D532" s="563">
        <v>50</v>
      </c>
      <c r="E532" s="563">
        <v>27000</v>
      </c>
      <c r="F532" s="555">
        <v>1350000</v>
      </c>
    </row>
    <row r="533" spans="1:6" ht="15.75">
      <c r="A533" s="136">
        <v>143</v>
      </c>
      <c r="B533" s="523" t="s">
        <v>3473</v>
      </c>
      <c r="C533" s="549" t="s">
        <v>286</v>
      </c>
      <c r="D533" s="523">
        <v>4</v>
      </c>
      <c r="E533" s="534">
        <v>55000</v>
      </c>
      <c r="F533" s="556">
        <v>220000</v>
      </c>
    </row>
    <row r="534" spans="1:6" ht="15.75">
      <c r="A534" s="136">
        <v>144</v>
      </c>
      <c r="B534" s="524" t="s">
        <v>3473</v>
      </c>
      <c r="C534" s="543" t="s">
        <v>286</v>
      </c>
      <c r="D534" s="524">
        <v>4</v>
      </c>
      <c r="E534" s="533">
        <v>55000</v>
      </c>
      <c r="F534" s="555">
        <v>220000</v>
      </c>
    </row>
    <row r="535" spans="1:6" ht="15.75">
      <c r="A535" s="136">
        <v>145</v>
      </c>
      <c r="B535" s="523" t="s">
        <v>3432</v>
      </c>
      <c r="C535" s="549" t="s">
        <v>286</v>
      </c>
      <c r="D535" s="549">
        <v>10</v>
      </c>
      <c r="E535" s="553">
        <v>40000</v>
      </c>
      <c r="F535" s="556">
        <v>400000</v>
      </c>
    </row>
    <row r="536" spans="1:6" ht="15.75">
      <c r="A536" s="136">
        <v>146</v>
      </c>
      <c r="B536" s="536" t="s">
        <v>3434</v>
      </c>
      <c r="C536" s="543" t="s">
        <v>432</v>
      </c>
      <c r="D536" s="543">
        <v>60</v>
      </c>
      <c r="E536" s="554">
        <v>13000</v>
      </c>
      <c r="F536" s="555">
        <v>780000</v>
      </c>
    </row>
    <row r="537" spans="1:6" ht="15.75">
      <c r="A537" s="136">
        <v>147</v>
      </c>
      <c r="B537" s="535" t="s">
        <v>3474</v>
      </c>
      <c r="C537" s="549" t="s">
        <v>27</v>
      </c>
      <c r="D537" s="549">
        <v>20</v>
      </c>
      <c r="E537" s="553">
        <v>45000</v>
      </c>
      <c r="F537" s="556">
        <v>900000</v>
      </c>
    </row>
    <row r="538" spans="1:6" ht="15.75">
      <c r="A538" s="136">
        <v>148</v>
      </c>
      <c r="B538" s="536" t="s">
        <v>3474</v>
      </c>
      <c r="C538" s="543" t="s">
        <v>27</v>
      </c>
      <c r="D538" s="543">
        <v>20</v>
      </c>
      <c r="E538" s="554">
        <v>45000</v>
      </c>
      <c r="F538" s="555">
        <v>900000</v>
      </c>
    </row>
    <row r="539" spans="1:6" ht="15.75">
      <c r="A539" s="136">
        <v>149</v>
      </c>
      <c r="B539" s="535" t="s">
        <v>3475</v>
      </c>
      <c r="C539" s="549" t="s">
        <v>286</v>
      </c>
      <c r="D539" s="549">
        <v>2</v>
      </c>
      <c r="E539" s="553">
        <v>200000</v>
      </c>
      <c r="F539" s="556">
        <v>400000</v>
      </c>
    </row>
    <row r="540" spans="1:6" ht="15.75">
      <c r="A540" s="136">
        <v>150</v>
      </c>
      <c r="B540" s="536" t="s">
        <v>3437</v>
      </c>
      <c r="C540" s="543" t="s">
        <v>27</v>
      </c>
      <c r="D540" s="543">
        <v>40</v>
      </c>
      <c r="E540" s="554">
        <v>8000</v>
      </c>
      <c r="F540" s="555">
        <v>320000</v>
      </c>
    </row>
    <row r="541" spans="1:6" ht="15.75">
      <c r="A541" s="136">
        <v>151</v>
      </c>
      <c r="B541" s="549" t="s">
        <v>3476</v>
      </c>
      <c r="C541" s="549" t="s">
        <v>286</v>
      </c>
      <c r="D541" s="549">
        <v>100</v>
      </c>
      <c r="E541" s="553">
        <v>50000</v>
      </c>
      <c r="F541" s="556">
        <v>5000000</v>
      </c>
    </row>
    <row r="542" spans="1:6" ht="15.75">
      <c r="A542" s="136">
        <v>152</v>
      </c>
      <c r="B542" s="543" t="s">
        <v>3477</v>
      </c>
      <c r="C542" s="543" t="s">
        <v>286</v>
      </c>
      <c r="D542" s="543">
        <v>10</v>
      </c>
      <c r="E542" s="554">
        <v>50000</v>
      </c>
      <c r="F542" s="555">
        <v>500000</v>
      </c>
    </row>
    <row r="543" spans="1:6" ht="15.75">
      <c r="A543" s="136">
        <v>153</v>
      </c>
      <c r="B543" s="549" t="s">
        <v>3478</v>
      </c>
      <c r="C543" s="549" t="s">
        <v>286</v>
      </c>
      <c r="D543" s="549">
        <v>10</v>
      </c>
      <c r="E543" s="553">
        <v>50000</v>
      </c>
      <c r="F543" s="556">
        <v>500000</v>
      </c>
    </row>
    <row r="544" spans="1:6" ht="15.75">
      <c r="A544" s="136">
        <v>154</v>
      </c>
      <c r="B544" s="543" t="s">
        <v>3479</v>
      </c>
      <c r="C544" s="543" t="s">
        <v>286</v>
      </c>
      <c r="D544" s="543">
        <v>5</v>
      </c>
      <c r="E544" s="554">
        <v>50000</v>
      </c>
      <c r="F544" s="555">
        <v>250000</v>
      </c>
    </row>
    <row r="545" spans="1:6" ht="15.75">
      <c r="A545" s="136">
        <v>155</v>
      </c>
      <c r="B545" s="523" t="s">
        <v>3473</v>
      </c>
      <c r="C545" s="549" t="s">
        <v>286</v>
      </c>
      <c r="D545" s="523">
        <v>4</v>
      </c>
      <c r="E545" s="534">
        <v>55000</v>
      </c>
      <c r="F545" s="556">
        <v>220000</v>
      </c>
    </row>
    <row r="546" spans="1:6" ht="15.75">
      <c r="A546" s="136">
        <v>156</v>
      </c>
      <c r="B546" s="543" t="s">
        <v>3480</v>
      </c>
      <c r="C546" s="543" t="s">
        <v>286</v>
      </c>
      <c r="D546" s="543">
        <v>3000</v>
      </c>
      <c r="E546" s="554">
        <v>3500</v>
      </c>
      <c r="F546" s="555">
        <v>10500000</v>
      </c>
    </row>
    <row r="547" spans="1:6" ht="15.75">
      <c r="A547" s="136">
        <v>157</v>
      </c>
      <c r="B547" s="523" t="s">
        <v>3473</v>
      </c>
      <c r="C547" s="549" t="s">
        <v>286</v>
      </c>
      <c r="D547" s="523">
        <v>3</v>
      </c>
      <c r="E547" s="534">
        <v>55000</v>
      </c>
      <c r="F547" s="556">
        <v>165000</v>
      </c>
    </row>
    <row r="548" spans="1:6" ht="15.75">
      <c r="A548" s="136">
        <v>158</v>
      </c>
      <c r="B548" s="536" t="s">
        <v>3434</v>
      </c>
      <c r="C548" s="543" t="s">
        <v>432</v>
      </c>
      <c r="D548" s="543">
        <v>60</v>
      </c>
      <c r="E548" s="554">
        <v>18000</v>
      </c>
      <c r="F548" s="555">
        <v>1080000</v>
      </c>
    </row>
    <row r="549" spans="1:6" ht="15.75">
      <c r="A549" s="136">
        <v>159</v>
      </c>
      <c r="B549" s="590" t="s">
        <v>3481</v>
      </c>
      <c r="C549" s="523" t="s">
        <v>27</v>
      </c>
      <c r="D549" s="591">
        <v>70</v>
      </c>
      <c r="E549" s="556">
        <v>20000</v>
      </c>
      <c r="F549" s="556">
        <v>1400000</v>
      </c>
    </row>
    <row r="550" spans="1:6" ht="15.75">
      <c r="A550" s="136">
        <v>160</v>
      </c>
      <c r="B550" s="592" t="s">
        <v>3482</v>
      </c>
      <c r="C550" s="524" t="s">
        <v>518</v>
      </c>
      <c r="D550" s="547">
        <v>50</v>
      </c>
      <c r="E550" s="555">
        <v>14850</v>
      </c>
      <c r="F550" s="555">
        <v>742500</v>
      </c>
    </row>
    <row r="551" spans="1:6" ht="15.75">
      <c r="A551" s="136">
        <v>161</v>
      </c>
      <c r="B551" s="590" t="s">
        <v>3483</v>
      </c>
      <c r="C551" s="523" t="s">
        <v>27</v>
      </c>
      <c r="D551" s="570">
        <v>10</v>
      </c>
      <c r="E551" s="593">
        <v>45000</v>
      </c>
      <c r="F551" s="556">
        <v>450000</v>
      </c>
    </row>
    <row r="552" spans="1:6" ht="15.75">
      <c r="A552" s="136">
        <v>162</v>
      </c>
      <c r="B552" s="594" t="s">
        <v>3484</v>
      </c>
      <c r="C552" s="524" t="s">
        <v>27</v>
      </c>
      <c r="D552" s="583">
        <v>10</v>
      </c>
      <c r="E552" s="595">
        <v>45000</v>
      </c>
      <c r="F552" s="555">
        <v>450000</v>
      </c>
    </row>
    <row r="553" spans="1:6" ht="15.75">
      <c r="A553" s="136">
        <v>163</v>
      </c>
      <c r="B553" s="573" t="s">
        <v>3485</v>
      </c>
      <c r="C553" s="523" t="s">
        <v>27</v>
      </c>
      <c r="D553" s="545">
        <v>10</v>
      </c>
      <c r="E553" s="596">
        <v>40000</v>
      </c>
      <c r="F553" s="556">
        <v>400000</v>
      </c>
    </row>
    <row r="554" spans="1:6" ht="15.75">
      <c r="A554" s="136">
        <v>164</v>
      </c>
      <c r="B554" s="543" t="s">
        <v>3486</v>
      </c>
      <c r="C554" s="547" t="s">
        <v>432</v>
      </c>
      <c r="D554" s="547">
        <v>300</v>
      </c>
      <c r="E554" s="569">
        <v>25000</v>
      </c>
      <c r="F554" s="555">
        <v>7500000</v>
      </c>
    </row>
    <row r="555" spans="1:6" ht="15.75">
      <c r="A555" s="136">
        <v>165</v>
      </c>
      <c r="B555" s="549" t="s">
        <v>3487</v>
      </c>
      <c r="C555" s="545" t="s">
        <v>1176</v>
      </c>
      <c r="D555" s="545">
        <v>30</v>
      </c>
      <c r="E555" s="567">
        <v>60000</v>
      </c>
      <c r="F555" s="556">
        <v>1800000</v>
      </c>
    </row>
    <row r="556" spans="1:6" ht="15.75">
      <c r="A556" s="136">
        <v>166</v>
      </c>
      <c r="B556" s="592" t="s">
        <v>3482</v>
      </c>
      <c r="C556" s="547" t="s">
        <v>518</v>
      </c>
      <c r="D556" s="547">
        <v>80</v>
      </c>
      <c r="E556" s="569">
        <v>25000</v>
      </c>
      <c r="F556" s="555">
        <v>2000000</v>
      </c>
    </row>
    <row r="557" spans="1:6" ht="15.75">
      <c r="A557" s="136">
        <v>167</v>
      </c>
      <c r="B557" s="573" t="s">
        <v>3488</v>
      </c>
      <c r="C557" s="545" t="s">
        <v>286</v>
      </c>
      <c r="D557" s="545">
        <v>20</v>
      </c>
      <c r="E557" s="567">
        <v>15000</v>
      </c>
      <c r="F557" s="556">
        <v>300000</v>
      </c>
    </row>
    <row r="558" spans="1:6" ht="15.75">
      <c r="A558" s="136">
        <v>168</v>
      </c>
      <c r="B558" s="524" t="s">
        <v>3489</v>
      </c>
      <c r="C558" s="524" t="s">
        <v>27</v>
      </c>
      <c r="D558" s="524">
        <v>20</v>
      </c>
      <c r="E558" s="597">
        <v>40000</v>
      </c>
      <c r="F558" s="555">
        <v>800000</v>
      </c>
    </row>
    <row r="559" spans="1:6" ht="15.75">
      <c r="A559" s="136">
        <v>169</v>
      </c>
      <c r="B559" s="549" t="s">
        <v>3490</v>
      </c>
      <c r="C559" s="545" t="s">
        <v>27</v>
      </c>
      <c r="D559" s="545">
        <v>150</v>
      </c>
      <c r="E559" s="567">
        <v>3000</v>
      </c>
      <c r="F559" s="556">
        <v>450000</v>
      </c>
    </row>
    <row r="560" spans="1:6" ht="15.75">
      <c r="A560" s="136">
        <v>170</v>
      </c>
      <c r="B560" s="598" t="s">
        <v>3491</v>
      </c>
      <c r="C560" s="547" t="s">
        <v>27</v>
      </c>
      <c r="D560" s="547">
        <v>150</v>
      </c>
      <c r="E560" s="569">
        <v>3000</v>
      </c>
      <c r="F560" s="555">
        <v>450000</v>
      </c>
    </row>
    <row r="561" spans="1:6" ht="15.75">
      <c r="A561" s="136">
        <v>171</v>
      </c>
      <c r="B561" s="575" t="s">
        <v>3492</v>
      </c>
      <c r="C561" s="545" t="s">
        <v>286</v>
      </c>
      <c r="D561" s="545">
        <v>20</v>
      </c>
      <c r="E561" s="567">
        <v>25000</v>
      </c>
      <c r="F561" s="556">
        <v>500000</v>
      </c>
    </row>
    <row r="562" spans="1:6" ht="15.75">
      <c r="A562" s="136">
        <v>172</v>
      </c>
      <c r="B562" s="543" t="s">
        <v>3493</v>
      </c>
      <c r="C562" s="547" t="s">
        <v>1176</v>
      </c>
      <c r="D562" s="547">
        <v>10</v>
      </c>
      <c r="E562" s="569">
        <v>60000</v>
      </c>
      <c r="F562" s="555">
        <v>600000</v>
      </c>
    </row>
    <row r="563" spans="1:6" ht="15.75">
      <c r="A563" s="136">
        <v>173</v>
      </c>
      <c r="B563" s="590" t="s">
        <v>3481</v>
      </c>
      <c r="C563" s="523" t="s">
        <v>27</v>
      </c>
      <c r="D563" s="591">
        <v>40</v>
      </c>
      <c r="E563" s="589">
        <v>50000</v>
      </c>
      <c r="F563" s="556">
        <v>2000000</v>
      </c>
    </row>
    <row r="564" spans="1:6" ht="15.75">
      <c r="A564" s="136">
        <v>174</v>
      </c>
      <c r="B564" s="592" t="s">
        <v>3494</v>
      </c>
      <c r="C564" s="547" t="s">
        <v>286</v>
      </c>
      <c r="D564" s="547">
        <v>1</v>
      </c>
      <c r="E564" s="597">
        <v>150000</v>
      </c>
      <c r="F564" s="555">
        <v>150000</v>
      </c>
    </row>
    <row r="565" spans="1:6" ht="47.25">
      <c r="A565" s="136">
        <v>175</v>
      </c>
      <c r="B565" s="545" t="s">
        <v>3495</v>
      </c>
      <c r="C565" s="545" t="s">
        <v>286</v>
      </c>
      <c r="D565" s="545">
        <v>2</v>
      </c>
      <c r="E565" s="527">
        <v>1450000</v>
      </c>
      <c r="F565" s="525">
        <v>2900000</v>
      </c>
    </row>
    <row r="566" spans="1:6" ht="31.5">
      <c r="A566" s="136">
        <v>176</v>
      </c>
      <c r="B566" s="547" t="s">
        <v>3496</v>
      </c>
      <c r="C566" s="547" t="s">
        <v>286</v>
      </c>
      <c r="D566" s="547">
        <v>2</v>
      </c>
      <c r="E566" s="526">
        <v>725000</v>
      </c>
      <c r="F566" s="528">
        <v>1450000</v>
      </c>
    </row>
    <row r="567" spans="1:6" ht="31.5">
      <c r="A567" s="136">
        <v>177</v>
      </c>
      <c r="B567" s="545" t="s">
        <v>3497</v>
      </c>
      <c r="C567" s="545" t="s">
        <v>286</v>
      </c>
      <c r="D567" s="545">
        <v>2</v>
      </c>
      <c r="E567" s="527">
        <v>150000</v>
      </c>
      <c r="F567" s="525">
        <v>300000</v>
      </c>
    </row>
    <row r="568" spans="1:6" ht="31.5">
      <c r="A568" s="136">
        <v>178</v>
      </c>
      <c r="B568" s="547" t="s">
        <v>3498</v>
      </c>
      <c r="C568" s="599" t="s">
        <v>791</v>
      </c>
      <c r="D568" s="547">
        <v>30</v>
      </c>
      <c r="E568" s="526">
        <v>17500</v>
      </c>
      <c r="F568" s="528">
        <v>525000</v>
      </c>
    </row>
    <row r="569" spans="1:6" ht="31.5">
      <c r="A569" s="136">
        <v>179</v>
      </c>
      <c r="B569" s="537" t="s">
        <v>3499</v>
      </c>
      <c r="C569" s="545" t="s">
        <v>286</v>
      </c>
      <c r="D569" s="545">
        <v>3</v>
      </c>
      <c r="E569" s="527">
        <v>125000</v>
      </c>
      <c r="F569" s="525">
        <v>375000</v>
      </c>
    </row>
    <row r="570" spans="1:6" ht="15.75">
      <c r="A570" s="136">
        <v>180</v>
      </c>
      <c r="B570" s="543" t="s">
        <v>3500</v>
      </c>
      <c r="C570" s="578" t="s">
        <v>68</v>
      </c>
      <c r="D570" s="551">
        <v>200</v>
      </c>
      <c r="E570" s="600">
        <v>10000</v>
      </c>
      <c r="F570" s="555">
        <v>2000000</v>
      </c>
    </row>
    <row r="571" spans="1:6" ht="15.75">
      <c r="A571" s="136">
        <v>181</v>
      </c>
      <c r="B571" s="549" t="s">
        <v>3501</v>
      </c>
      <c r="C571" s="579" t="s">
        <v>286</v>
      </c>
      <c r="D571" s="550">
        <v>10</v>
      </c>
      <c r="E571" s="601">
        <v>90000</v>
      </c>
      <c r="F571" s="556">
        <v>900000</v>
      </c>
    </row>
    <row r="572" spans="1:6" ht="15.75">
      <c r="A572" s="136">
        <v>182</v>
      </c>
      <c r="B572" s="543" t="s">
        <v>3502</v>
      </c>
      <c r="C572" s="578" t="s">
        <v>286</v>
      </c>
      <c r="D572" s="551">
        <v>10</v>
      </c>
      <c r="E572" s="600">
        <v>45000</v>
      </c>
      <c r="F572" s="555">
        <v>450000</v>
      </c>
    </row>
    <row r="573" spans="1:6" ht="15.75">
      <c r="A573" s="136">
        <v>183</v>
      </c>
      <c r="B573" s="549" t="s">
        <v>3503</v>
      </c>
      <c r="C573" s="579" t="s">
        <v>286</v>
      </c>
      <c r="D573" s="550">
        <v>30</v>
      </c>
      <c r="E573" s="601">
        <v>25000</v>
      </c>
      <c r="F573" s="556">
        <v>750000</v>
      </c>
    </row>
    <row r="574" spans="1:6" ht="15.75">
      <c r="A574" s="136">
        <v>184</v>
      </c>
      <c r="B574" s="543" t="s">
        <v>3504</v>
      </c>
      <c r="C574" s="578" t="s">
        <v>286</v>
      </c>
      <c r="D574" s="551">
        <v>30</v>
      </c>
      <c r="E574" s="600">
        <v>25000</v>
      </c>
      <c r="F574" s="555">
        <v>750000</v>
      </c>
    </row>
    <row r="575" spans="1:6" ht="15.75">
      <c r="A575" s="136">
        <v>185</v>
      </c>
      <c r="B575" s="549" t="s">
        <v>3505</v>
      </c>
      <c r="C575" s="579" t="s">
        <v>286</v>
      </c>
      <c r="D575" s="550">
        <v>2</v>
      </c>
      <c r="E575" s="601">
        <v>300000</v>
      </c>
      <c r="F575" s="556">
        <v>600000</v>
      </c>
    </row>
    <row r="576" spans="1:6" ht="15.75">
      <c r="A576" s="136">
        <v>186</v>
      </c>
      <c r="B576" s="543" t="s">
        <v>3506</v>
      </c>
      <c r="C576" s="578" t="s">
        <v>286</v>
      </c>
      <c r="D576" s="551">
        <v>40</v>
      </c>
      <c r="E576" s="600">
        <v>25000</v>
      </c>
      <c r="F576" s="555">
        <v>1000000</v>
      </c>
    </row>
    <row r="577" spans="1:6" ht="15.75">
      <c r="A577" s="136">
        <v>187</v>
      </c>
      <c r="B577" s="549" t="s">
        <v>3507</v>
      </c>
      <c r="C577" s="579" t="s">
        <v>3508</v>
      </c>
      <c r="D577" s="550">
        <v>50</v>
      </c>
      <c r="E577" s="601">
        <v>19000</v>
      </c>
      <c r="F577" s="556">
        <v>950000</v>
      </c>
    </row>
    <row r="578" spans="1:6" ht="15.75">
      <c r="A578" s="136">
        <v>188</v>
      </c>
      <c r="B578" s="543" t="s">
        <v>3414</v>
      </c>
      <c r="C578" s="578" t="s">
        <v>68</v>
      </c>
      <c r="D578" s="551">
        <v>50</v>
      </c>
      <c r="E578" s="600">
        <v>15000</v>
      </c>
      <c r="F578" s="555">
        <v>750000</v>
      </c>
    </row>
    <row r="579" spans="1:6" ht="48.75" customHeight="1">
      <c r="A579" s="136"/>
      <c r="B579" s="1254" t="s">
        <v>3533</v>
      </c>
      <c r="C579" s="1255"/>
      <c r="D579" s="1255"/>
      <c r="E579" s="1255"/>
      <c r="F579" s="1255"/>
    </row>
    <row r="580" spans="1:6" ht="63">
      <c r="A580" s="136">
        <v>1</v>
      </c>
      <c r="B580" s="523" t="s">
        <v>3510</v>
      </c>
      <c r="C580" s="523" t="s">
        <v>1176</v>
      </c>
      <c r="D580" s="523">
        <v>1600</v>
      </c>
      <c r="E580" s="534">
        <v>9000</v>
      </c>
      <c r="F580" s="556">
        <v>14400000</v>
      </c>
    </row>
    <row r="581" spans="1:6" ht="63">
      <c r="A581" s="136">
        <v>2</v>
      </c>
      <c r="B581" s="524" t="s">
        <v>3511</v>
      </c>
      <c r="C581" s="524" t="s">
        <v>1176</v>
      </c>
      <c r="D581" s="524">
        <v>918</v>
      </c>
      <c r="E581" s="533">
        <v>17000</v>
      </c>
      <c r="F581" s="555">
        <v>15606000</v>
      </c>
    </row>
    <row r="582" spans="1:6" ht="15.75">
      <c r="A582" s="136">
        <v>3</v>
      </c>
      <c r="B582" s="523" t="s">
        <v>3512</v>
      </c>
      <c r="C582" s="523" t="s">
        <v>27</v>
      </c>
      <c r="D582" s="523">
        <v>525</v>
      </c>
      <c r="E582" s="523">
        <v>14300</v>
      </c>
      <c r="F582" s="556">
        <v>7507500</v>
      </c>
    </row>
    <row r="583" spans="1:6" ht="15.75">
      <c r="A583" s="136">
        <v>4</v>
      </c>
      <c r="B583" s="524" t="s">
        <v>3513</v>
      </c>
      <c r="C583" s="524" t="s">
        <v>286</v>
      </c>
      <c r="D583" s="524">
        <v>6</v>
      </c>
      <c r="E583" s="524">
        <v>20000</v>
      </c>
      <c r="F583" s="555">
        <v>120000</v>
      </c>
    </row>
    <row r="584" spans="1:6" ht="15.75">
      <c r="A584" s="136">
        <v>5</v>
      </c>
      <c r="B584" s="523" t="s">
        <v>3514</v>
      </c>
      <c r="C584" s="523" t="s">
        <v>286</v>
      </c>
      <c r="D584" s="523">
        <v>2</v>
      </c>
      <c r="E584" s="523">
        <v>146833</v>
      </c>
      <c r="F584" s="556">
        <v>293666</v>
      </c>
    </row>
    <row r="585" spans="1:6" ht="15.75">
      <c r="A585" s="136">
        <v>6</v>
      </c>
      <c r="B585" s="524" t="s">
        <v>3515</v>
      </c>
      <c r="C585" s="524" t="s">
        <v>286</v>
      </c>
      <c r="D585" s="524">
        <v>8</v>
      </c>
      <c r="E585" s="524">
        <v>45000</v>
      </c>
      <c r="F585" s="555">
        <v>360000</v>
      </c>
    </row>
    <row r="586" spans="1:6" ht="15.75">
      <c r="A586" s="136">
        <v>7</v>
      </c>
      <c r="B586" s="523" t="s">
        <v>3516</v>
      </c>
      <c r="C586" s="523" t="s">
        <v>432</v>
      </c>
      <c r="D586" s="523">
        <v>100</v>
      </c>
      <c r="E586" s="523">
        <v>7665</v>
      </c>
      <c r="F586" s="556">
        <v>766500</v>
      </c>
    </row>
    <row r="587" spans="1:6" ht="15.75">
      <c r="A587" s="136">
        <v>8</v>
      </c>
      <c r="B587" s="524" t="s">
        <v>3517</v>
      </c>
      <c r="C587" s="524" t="s">
        <v>286</v>
      </c>
      <c r="D587" s="524">
        <v>6</v>
      </c>
      <c r="E587" s="524">
        <v>17284</v>
      </c>
      <c r="F587" s="555">
        <v>103704</v>
      </c>
    </row>
    <row r="588" spans="1:6" ht="15.75">
      <c r="A588" s="136">
        <v>9</v>
      </c>
      <c r="B588" s="523" t="s">
        <v>3518</v>
      </c>
      <c r="C588" s="523" t="s">
        <v>286</v>
      </c>
      <c r="D588" s="523">
        <v>4</v>
      </c>
      <c r="E588" s="523">
        <v>19063</v>
      </c>
      <c r="F588" s="556">
        <v>76252</v>
      </c>
    </row>
    <row r="589" spans="1:6" ht="15.75">
      <c r="A589" s="136">
        <v>10</v>
      </c>
      <c r="B589" s="524" t="s">
        <v>3519</v>
      </c>
      <c r="C589" s="524" t="s">
        <v>432</v>
      </c>
      <c r="D589" s="524">
        <v>300</v>
      </c>
      <c r="E589" s="524">
        <v>3983</v>
      </c>
      <c r="F589" s="555">
        <v>1194900</v>
      </c>
    </row>
    <row r="590" spans="1:6" ht="31.5">
      <c r="A590" s="136">
        <v>11</v>
      </c>
      <c r="B590" s="523" t="s">
        <v>3520</v>
      </c>
      <c r="C590" s="523" t="s">
        <v>27</v>
      </c>
      <c r="D590" s="523">
        <v>250</v>
      </c>
      <c r="E590" s="523">
        <v>35000</v>
      </c>
      <c r="F590" s="556">
        <v>8750000</v>
      </c>
    </row>
    <row r="591" spans="1:6" ht="31.5">
      <c r="A591" s="136">
        <v>12</v>
      </c>
      <c r="B591" s="524" t="s">
        <v>3521</v>
      </c>
      <c r="C591" s="524" t="s">
        <v>27</v>
      </c>
      <c r="D591" s="524">
        <v>30</v>
      </c>
      <c r="E591" s="524">
        <v>35000</v>
      </c>
      <c r="F591" s="555">
        <v>1050000</v>
      </c>
    </row>
    <row r="592" spans="1:6" ht="15.75">
      <c r="A592" s="136">
        <v>13</v>
      </c>
      <c r="B592" s="523" t="s">
        <v>3522</v>
      </c>
      <c r="C592" s="523" t="s">
        <v>390</v>
      </c>
      <c r="D592" s="523">
        <v>50</v>
      </c>
      <c r="E592" s="523">
        <v>20000</v>
      </c>
      <c r="F592" s="556">
        <v>1000000</v>
      </c>
    </row>
    <row r="593" spans="1:6" ht="15.75">
      <c r="A593" s="136">
        <v>14</v>
      </c>
      <c r="B593" s="524" t="s">
        <v>3523</v>
      </c>
      <c r="C593" s="524" t="s">
        <v>27</v>
      </c>
      <c r="D593" s="524">
        <v>1000</v>
      </c>
      <c r="E593" s="524">
        <v>1610</v>
      </c>
      <c r="F593" s="555">
        <v>1610000</v>
      </c>
    </row>
    <row r="594" spans="1:6" ht="47.25">
      <c r="A594" s="136">
        <v>15</v>
      </c>
      <c r="B594" s="523" t="s">
        <v>3524</v>
      </c>
      <c r="C594" s="537" t="s">
        <v>3525</v>
      </c>
      <c r="D594" s="537">
        <v>1</v>
      </c>
      <c r="E594" s="527">
        <v>15600000</v>
      </c>
      <c r="F594" s="556">
        <v>15600000</v>
      </c>
    </row>
    <row r="595" spans="1:6" ht="31.5">
      <c r="A595" s="136">
        <v>16</v>
      </c>
      <c r="B595" s="524" t="s">
        <v>3526</v>
      </c>
      <c r="C595" s="539" t="s">
        <v>3525</v>
      </c>
      <c r="D595" s="539">
        <v>1</v>
      </c>
      <c r="E595" s="526">
        <v>14000000</v>
      </c>
      <c r="F595" s="555">
        <v>14000000</v>
      </c>
    </row>
    <row r="596" spans="1:6" ht="15.75">
      <c r="A596" s="136">
        <v>17</v>
      </c>
      <c r="B596" s="523" t="s">
        <v>3527</v>
      </c>
      <c r="C596" s="523" t="s">
        <v>286</v>
      </c>
      <c r="D596" s="523">
        <v>6</v>
      </c>
      <c r="E596" s="534">
        <v>250000</v>
      </c>
      <c r="F596" s="556">
        <v>1500000</v>
      </c>
    </row>
    <row r="597" spans="1:6" ht="15.75">
      <c r="A597" s="136">
        <v>18</v>
      </c>
      <c r="B597" s="524" t="s">
        <v>3527</v>
      </c>
      <c r="C597" s="524" t="s">
        <v>286</v>
      </c>
      <c r="D597" s="524">
        <v>6</v>
      </c>
      <c r="E597" s="533">
        <v>250000</v>
      </c>
      <c r="F597" s="555">
        <v>1500000</v>
      </c>
    </row>
    <row r="598" spans="1:6" ht="15.75">
      <c r="A598" s="136">
        <v>19</v>
      </c>
      <c r="B598" s="523" t="s">
        <v>3528</v>
      </c>
      <c r="C598" s="523" t="s">
        <v>286</v>
      </c>
      <c r="D598" s="523">
        <v>2</v>
      </c>
      <c r="E598" s="534">
        <v>400000</v>
      </c>
      <c r="F598" s="556">
        <v>800000</v>
      </c>
    </row>
    <row r="599" spans="1:6" ht="15.75">
      <c r="A599" s="136">
        <v>20</v>
      </c>
      <c r="B599" s="543" t="s">
        <v>3529</v>
      </c>
      <c r="C599" s="524" t="s">
        <v>3525</v>
      </c>
      <c r="D599" s="524">
        <v>1</v>
      </c>
      <c r="E599" s="554">
        <v>3100000</v>
      </c>
      <c r="F599" s="555">
        <v>3100000</v>
      </c>
    </row>
    <row r="600" spans="1:6" ht="15.75">
      <c r="A600" s="136">
        <v>21</v>
      </c>
      <c r="B600" s="523" t="s">
        <v>3530</v>
      </c>
      <c r="C600" s="549" t="s">
        <v>432</v>
      </c>
      <c r="D600" s="549">
        <v>36</v>
      </c>
      <c r="E600" s="553">
        <v>40000</v>
      </c>
      <c r="F600" s="556">
        <v>1440000</v>
      </c>
    </row>
    <row r="601" spans="1:6" ht="15.75">
      <c r="A601" s="136">
        <v>22</v>
      </c>
      <c r="B601" s="524" t="s">
        <v>3530</v>
      </c>
      <c r="C601" s="543" t="s">
        <v>432</v>
      </c>
      <c r="D601" s="543">
        <v>18</v>
      </c>
      <c r="E601" s="554">
        <v>36000</v>
      </c>
      <c r="F601" s="555">
        <v>648000</v>
      </c>
    </row>
    <row r="602" spans="1:6" ht="15.75">
      <c r="A602" s="136">
        <v>23</v>
      </c>
      <c r="B602" s="523" t="s">
        <v>3531</v>
      </c>
      <c r="C602" s="549" t="s">
        <v>286</v>
      </c>
      <c r="D602" s="549">
        <v>5</v>
      </c>
      <c r="E602" s="553">
        <v>160000</v>
      </c>
      <c r="F602" s="556">
        <v>800000</v>
      </c>
    </row>
    <row r="603" spans="1:6" ht="15.75">
      <c r="A603" s="136">
        <v>24</v>
      </c>
      <c r="B603" s="524" t="s">
        <v>3532</v>
      </c>
      <c r="C603" s="543" t="s">
        <v>286</v>
      </c>
      <c r="D603" s="543">
        <v>3</v>
      </c>
      <c r="E603" s="554">
        <v>190000</v>
      </c>
      <c r="F603" s="555">
        <v>570000</v>
      </c>
    </row>
    <row r="604" spans="1:6" ht="30.75" customHeight="1">
      <c r="A604" s="136"/>
      <c r="B604" s="1254" t="s">
        <v>3534</v>
      </c>
      <c r="C604" s="1255"/>
      <c r="D604" s="1255"/>
      <c r="E604" s="1255"/>
      <c r="F604" s="1255"/>
    </row>
    <row r="605" spans="1:6" ht="15.75">
      <c r="A605" s="136">
        <v>1</v>
      </c>
      <c r="B605" s="523" t="s">
        <v>3535</v>
      </c>
      <c r="C605" s="523" t="s">
        <v>286</v>
      </c>
      <c r="D605" s="523">
        <v>2</v>
      </c>
      <c r="E605" s="534">
        <v>381300</v>
      </c>
      <c r="F605" s="556">
        <v>762600</v>
      </c>
    </row>
    <row r="606" spans="1:6" ht="15.75">
      <c r="A606" s="136">
        <v>2</v>
      </c>
      <c r="B606" s="524" t="s">
        <v>3536</v>
      </c>
      <c r="C606" s="524" t="s">
        <v>286</v>
      </c>
      <c r="D606" s="524">
        <v>3</v>
      </c>
      <c r="E606" s="533">
        <v>1303000</v>
      </c>
      <c r="F606" s="555">
        <v>3909000</v>
      </c>
    </row>
    <row r="607" spans="1:6" ht="15.75">
      <c r="A607" s="136">
        <v>3</v>
      </c>
      <c r="B607" s="523" t="s">
        <v>3537</v>
      </c>
      <c r="C607" s="523" t="s">
        <v>286</v>
      </c>
      <c r="D607" s="523">
        <v>2</v>
      </c>
      <c r="E607" s="534">
        <v>308990</v>
      </c>
      <c r="F607" s="556">
        <v>617980</v>
      </c>
    </row>
    <row r="608" spans="1:6" ht="15.75">
      <c r="A608" s="136">
        <v>4</v>
      </c>
      <c r="B608" s="524" t="s">
        <v>3538</v>
      </c>
      <c r="C608" s="524" t="s">
        <v>286</v>
      </c>
      <c r="D608" s="524">
        <v>2</v>
      </c>
      <c r="E608" s="533">
        <v>2000000</v>
      </c>
      <c r="F608" s="555">
        <v>4000000</v>
      </c>
    </row>
    <row r="609" spans="1:6" ht="15.75">
      <c r="A609" s="136">
        <v>5</v>
      </c>
      <c r="B609" s="523" t="s">
        <v>3539</v>
      </c>
      <c r="C609" s="523" t="s">
        <v>286</v>
      </c>
      <c r="D609" s="523">
        <v>60</v>
      </c>
      <c r="E609" s="534">
        <v>31000</v>
      </c>
      <c r="F609" s="556">
        <v>1860000</v>
      </c>
    </row>
    <row r="610" spans="1:6" ht="15.75">
      <c r="A610" s="136">
        <v>6</v>
      </c>
      <c r="B610" s="524" t="s">
        <v>3540</v>
      </c>
      <c r="C610" s="524" t="s">
        <v>286</v>
      </c>
      <c r="D610" s="524">
        <v>4</v>
      </c>
      <c r="E610" s="533">
        <v>275000</v>
      </c>
      <c r="F610" s="555">
        <v>1100000</v>
      </c>
    </row>
    <row r="611" spans="1:6" ht="15.75">
      <c r="A611" s="136">
        <v>7</v>
      </c>
      <c r="B611" s="523" t="s">
        <v>3541</v>
      </c>
      <c r="C611" s="523" t="s">
        <v>286</v>
      </c>
      <c r="D611" s="523">
        <v>8</v>
      </c>
      <c r="E611" s="534">
        <v>400000</v>
      </c>
      <c r="F611" s="556">
        <v>3200000</v>
      </c>
    </row>
    <row r="612" spans="1:6" ht="15.75">
      <c r="A612" s="136">
        <v>8</v>
      </c>
      <c r="B612" s="524" t="s">
        <v>3542</v>
      </c>
      <c r="C612" s="524" t="s">
        <v>286</v>
      </c>
      <c r="D612" s="524">
        <v>1</v>
      </c>
      <c r="E612" s="533">
        <v>1150000</v>
      </c>
      <c r="F612" s="555">
        <v>1150000</v>
      </c>
    </row>
    <row r="613" spans="1:6" ht="15.75">
      <c r="A613" s="136">
        <v>9</v>
      </c>
      <c r="B613" s="523" t="s">
        <v>3543</v>
      </c>
      <c r="C613" s="549" t="s">
        <v>286</v>
      </c>
      <c r="D613" s="549">
        <v>5</v>
      </c>
      <c r="E613" s="553">
        <v>600000</v>
      </c>
      <c r="F613" s="556">
        <v>3000000</v>
      </c>
    </row>
    <row r="614" spans="1:6" ht="15.75">
      <c r="A614" s="136">
        <v>10</v>
      </c>
      <c r="B614" s="543" t="s">
        <v>3544</v>
      </c>
      <c r="C614" s="543" t="s">
        <v>432</v>
      </c>
      <c r="D614" s="551">
        <v>100</v>
      </c>
      <c r="E614" s="551">
        <v>8000</v>
      </c>
      <c r="F614" s="555">
        <v>800000</v>
      </c>
    </row>
    <row r="615" spans="1:6" ht="15.75">
      <c r="A615" s="136">
        <v>11</v>
      </c>
      <c r="B615" s="537" t="s">
        <v>3545</v>
      </c>
      <c r="C615" s="549" t="s">
        <v>286</v>
      </c>
      <c r="D615" s="550">
        <v>15</v>
      </c>
      <c r="E615" s="550">
        <v>100000</v>
      </c>
      <c r="F615" s="556">
        <v>1500000</v>
      </c>
    </row>
    <row r="616" spans="1:6" ht="15.75">
      <c r="A616" s="136">
        <v>12</v>
      </c>
      <c r="B616" s="524" t="s">
        <v>3543</v>
      </c>
      <c r="C616" s="543" t="s">
        <v>286</v>
      </c>
      <c r="D616" s="543">
        <v>5</v>
      </c>
      <c r="E616" s="554">
        <v>850000</v>
      </c>
      <c r="F616" s="555">
        <v>4250000</v>
      </c>
    </row>
    <row r="617" spans="1:6" ht="15.75">
      <c r="A617" s="136">
        <v>13</v>
      </c>
      <c r="B617" s="549" t="s">
        <v>3546</v>
      </c>
      <c r="C617" s="549" t="s">
        <v>286</v>
      </c>
      <c r="D617" s="550">
        <v>10</v>
      </c>
      <c r="E617" s="550">
        <v>50000</v>
      </c>
      <c r="F617" s="556">
        <v>500000</v>
      </c>
    </row>
    <row r="618" spans="1:6" ht="15.75">
      <c r="A618" s="136">
        <v>14</v>
      </c>
      <c r="B618" s="543" t="s">
        <v>3547</v>
      </c>
      <c r="C618" s="543" t="s">
        <v>286</v>
      </c>
      <c r="D618" s="551">
        <v>5</v>
      </c>
      <c r="E618" s="551">
        <v>65000</v>
      </c>
      <c r="F618" s="555">
        <v>325000</v>
      </c>
    </row>
    <row r="619" spans="1:6" ht="15.75">
      <c r="A619" s="136">
        <v>15</v>
      </c>
      <c r="B619" s="537" t="s">
        <v>3547</v>
      </c>
      <c r="C619" s="549" t="s">
        <v>286</v>
      </c>
      <c r="D619" s="550">
        <v>5</v>
      </c>
      <c r="E619" s="550">
        <v>55000</v>
      </c>
      <c r="F619" s="556">
        <v>275000</v>
      </c>
    </row>
    <row r="620" spans="1:6" ht="15.75">
      <c r="A620" s="136">
        <v>16</v>
      </c>
      <c r="B620" s="524" t="s">
        <v>3548</v>
      </c>
      <c r="C620" s="543" t="s">
        <v>432</v>
      </c>
      <c r="D620" s="543">
        <v>20</v>
      </c>
      <c r="E620" s="528">
        <v>40000</v>
      </c>
      <c r="F620" s="555">
        <v>800000</v>
      </c>
    </row>
    <row r="621" spans="1:6" ht="15.75">
      <c r="A621" s="136">
        <v>17</v>
      </c>
      <c r="B621" s="523" t="s">
        <v>3549</v>
      </c>
      <c r="C621" s="549" t="s">
        <v>286</v>
      </c>
      <c r="D621" s="549">
        <v>2</v>
      </c>
      <c r="E621" s="525">
        <v>800000</v>
      </c>
      <c r="F621" s="556">
        <v>1600000</v>
      </c>
    </row>
    <row r="622" spans="1:6" ht="15.75">
      <c r="A622" s="136">
        <v>18</v>
      </c>
      <c r="B622" s="524" t="s">
        <v>3548</v>
      </c>
      <c r="C622" s="543" t="s">
        <v>432</v>
      </c>
      <c r="D622" s="543">
        <v>1000</v>
      </c>
      <c r="E622" s="554">
        <v>4000</v>
      </c>
      <c r="F622" s="555">
        <v>4000000</v>
      </c>
    </row>
    <row r="623" spans="1:6" ht="15.75">
      <c r="A623" s="136">
        <v>19</v>
      </c>
      <c r="B623" s="549" t="s">
        <v>3550</v>
      </c>
      <c r="C623" s="549" t="s">
        <v>286</v>
      </c>
      <c r="D623" s="549">
        <v>8</v>
      </c>
      <c r="E623" s="549">
        <v>780000</v>
      </c>
      <c r="F623" s="556">
        <v>6240000</v>
      </c>
    </row>
    <row r="624" spans="1:6" ht="15.75">
      <c r="A624" s="136">
        <v>20</v>
      </c>
      <c r="B624" s="524" t="s">
        <v>3551</v>
      </c>
      <c r="C624" s="543" t="s">
        <v>432</v>
      </c>
      <c r="D624" s="543">
        <v>1400</v>
      </c>
      <c r="E624" s="554">
        <v>7300</v>
      </c>
      <c r="F624" s="555">
        <v>10220000</v>
      </c>
    </row>
    <row r="625" spans="1:6" ht="15.75">
      <c r="A625" s="136">
        <v>21</v>
      </c>
      <c r="B625" s="523" t="s">
        <v>3552</v>
      </c>
      <c r="C625" s="523" t="s">
        <v>432</v>
      </c>
      <c r="D625" s="523">
        <v>300</v>
      </c>
      <c r="E625" s="538">
        <v>13550</v>
      </c>
      <c r="F625" s="556">
        <v>4065000</v>
      </c>
    </row>
    <row r="626" spans="1:6" ht="15.75">
      <c r="A626" s="136">
        <v>22</v>
      </c>
      <c r="B626" s="524" t="s">
        <v>3553</v>
      </c>
      <c r="C626" s="524" t="s">
        <v>286</v>
      </c>
      <c r="D626" s="524">
        <v>700</v>
      </c>
      <c r="E626" s="540">
        <v>15550</v>
      </c>
      <c r="F626" s="555">
        <v>10885000</v>
      </c>
    </row>
    <row r="627" spans="1:6" ht="31.5">
      <c r="A627" s="136">
        <v>23</v>
      </c>
      <c r="B627" s="523" t="s">
        <v>3240</v>
      </c>
      <c r="C627" s="523" t="s">
        <v>286</v>
      </c>
      <c r="D627" s="523">
        <v>20</v>
      </c>
      <c r="E627" s="534">
        <v>100000</v>
      </c>
      <c r="F627" s="556">
        <v>2000000</v>
      </c>
    </row>
    <row r="628" spans="1:6" ht="31.5">
      <c r="A628" s="136">
        <v>24</v>
      </c>
      <c r="B628" s="524" t="s">
        <v>3241</v>
      </c>
      <c r="C628" s="524" t="s">
        <v>286</v>
      </c>
      <c r="D628" s="524">
        <v>10</v>
      </c>
      <c r="E628" s="533">
        <v>50000</v>
      </c>
      <c r="F628" s="555">
        <v>500000</v>
      </c>
    </row>
    <row r="629" spans="1:6" ht="15.75">
      <c r="A629" s="136">
        <v>25</v>
      </c>
      <c r="B629" s="523" t="s">
        <v>3554</v>
      </c>
      <c r="C629" s="523" t="s">
        <v>286</v>
      </c>
      <c r="D629" s="523">
        <v>1</v>
      </c>
      <c r="E629" s="534">
        <v>1200000</v>
      </c>
      <c r="F629" s="556">
        <v>1200000</v>
      </c>
    </row>
    <row r="630" spans="1:6" ht="15.75">
      <c r="A630" s="136">
        <v>26</v>
      </c>
      <c r="B630" s="524" t="s">
        <v>3555</v>
      </c>
      <c r="C630" s="524" t="s">
        <v>286</v>
      </c>
      <c r="D630" s="524">
        <v>1</v>
      </c>
      <c r="E630" s="533">
        <v>900000</v>
      </c>
      <c r="F630" s="555">
        <v>900000</v>
      </c>
    </row>
    <row r="631" spans="1:6" ht="15.75">
      <c r="A631" s="136">
        <v>27</v>
      </c>
      <c r="B631" s="523" t="s">
        <v>3556</v>
      </c>
      <c r="C631" s="523" t="s">
        <v>432</v>
      </c>
      <c r="D631" s="523">
        <v>40</v>
      </c>
      <c r="E631" s="534">
        <v>7500</v>
      </c>
      <c r="F631" s="556">
        <v>300000</v>
      </c>
    </row>
    <row r="632" spans="1:6" ht="31.5">
      <c r="A632" s="136">
        <v>28</v>
      </c>
      <c r="B632" s="524" t="s">
        <v>3557</v>
      </c>
      <c r="C632" s="524" t="s">
        <v>432</v>
      </c>
      <c r="D632" s="524">
        <v>20</v>
      </c>
      <c r="E632" s="533">
        <v>18000</v>
      </c>
      <c r="F632" s="555">
        <v>360000</v>
      </c>
    </row>
    <row r="633" spans="1:6" ht="15.75">
      <c r="A633" s="136">
        <v>29</v>
      </c>
      <c r="B633" s="549" t="s">
        <v>3558</v>
      </c>
      <c r="C633" s="579" t="s">
        <v>286</v>
      </c>
      <c r="D633" s="550">
        <v>5</v>
      </c>
      <c r="E633" s="601">
        <v>1000000</v>
      </c>
      <c r="F633" s="531">
        <v>5000000</v>
      </c>
    </row>
    <row r="634" spans="1:6" ht="15.75">
      <c r="A634" s="136">
        <v>30</v>
      </c>
      <c r="B634" s="539" t="s">
        <v>3547</v>
      </c>
      <c r="C634" s="578" t="s">
        <v>286</v>
      </c>
      <c r="D634" s="551">
        <v>2</v>
      </c>
      <c r="E634" s="600">
        <v>300000</v>
      </c>
      <c r="F634" s="532">
        <v>600000</v>
      </c>
    </row>
    <row r="635" spans="1:6" ht="45.75" customHeight="1">
      <c r="A635" s="136"/>
      <c r="B635" s="1254" t="s">
        <v>3569</v>
      </c>
      <c r="C635" s="1255"/>
      <c r="D635" s="1255"/>
      <c r="E635" s="1255"/>
      <c r="F635" s="1255"/>
    </row>
    <row r="636" spans="1:6" ht="31.5">
      <c r="A636" s="136">
        <v>1</v>
      </c>
      <c r="B636" s="525" t="s">
        <v>3559</v>
      </c>
      <c r="C636" s="525" t="s">
        <v>286</v>
      </c>
      <c r="D636" s="537">
        <v>1</v>
      </c>
      <c r="E636" s="538">
        <v>4000000</v>
      </c>
      <c r="F636" s="556">
        <v>4000000</v>
      </c>
    </row>
    <row r="637" spans="1:6" ht="15.75">
      <c r="A637" s="136">
        <v>2</v>
      </c>
      <c r="B637" s="543" t="s">
        <v>3560</v>
      </c>
      <c r="C637" s="543" t="s">
        <v>3525</v>
      </c>
      <c r="D637" s="543">
        <v>2</v>
      </c>
      <c r="E637" s="554">
        <v>600000</v>
      </c>
      <c r="F637" s="555">
        <v>1200000</v>
      </c>
    </row>
    <row r="638" spans="1:6" ht="31.5">
      <c r="A638" s="136">
        <v>3</v>
      </c>
      <c r="B638" s="549" t="s">
        <v>3561</v>
      </c>
      <c r="C638" s="549" t="s">
        <v>3525</v>
      </c>
      <c r="D638" s="549">
        <v>2</v>
      </c>
      <c r="E638" s="553">
        <v>700000</v>
      </c>
      <c r="F638" s="556">
        <v>1400000</v>
      </c>
    </row>
    <row r="639" spans="1:6" ht="15.75">
      <c r="A639" s="136">
        <v>4</v>
      </c>
      <c r="B639" s="543" t="s">
        <v>3560</v>
      </c>
      <c r="C639" s="543" t="s">
        <v>3525</v>
      </c>
      <c r="D639" s="543">
        <v>2</v>
      </c>
      <c r="E639" s="554">
        <v>600000</v>
      </c>
      <c r="F639" s="555">
        <v>1200000</v>
      </c>
    </row>
    <row r="640" spans="1:6" ht="31.5">
      <c r="A640" s="136">
        <v>5</v>
      </c>
      <c r="B640" s="549" t="s">
        <v>3561</v>
      </c>
      <c r="C640" s="549" t="s">
        <v>3525</v>
      </c>
      <c r="D640" s="549">
        <v>2</v>
      </c>
      <c r="E640" s="553">
        <v>700000</v>
      </c>
      <c r="F640" s="556">
        <v>1400000</v>
      </c>
    </row>
    <row r="641" spans="1:6" ht="15.75">
      <c r="A641" s="136">
        <v>6</v>
      </c>
      <c r="B641" s="543" t="s">
        <v>3562</v>
      </c>
      <c r="C641" s="543" t="s">
        <v>3525</v>
      </c>
      <c r="D641" s="543">
        <v>8</v>
      </c>
      <c r="E641" s="528">
        <v>430000</v>
      </c>
      <c r="F641" s="555">
        <v>3440000</v>
      </c>
    </row>
    <row r="642" spans="1:6" ht="15.75">
      <c r="A642" s="136">
        <v>7</v>
      </c>
      <c r="B642" s="549" t="s">
        <v>3563</v>
      </c>
      <c r="C642" s="549" t="s">
        <v>3525</v>
      </c>
      <c r="D642" s="549">
        <v>10</v>
      </c>
      <c r="E642" s="525">
        <v>65000</v>
      </c>
      <c r="F642" s="556">
        <v>650000</v>
      </c>
    </row>
    <row r="643" spans="1:6" ht="15.75">
      <c r="A643" s="136">
        <v>8</v>
      </c>
      <c r="B643" s="543" t="s">
        <v>3564</v>
      </c>
      <c r="C643" s="543" t="s">
        <v>3525</v>
      </c>
      <c r="D643" s="543">
        <v>4</v>
      </c>
      <c r="E643" s="528">
        <v>65000</v>
      </c>
      <c r="F643" s="555">
        <v>260000</v>
      </c>
    </row>
    <row r="644" spans="1:6" ht="15.75">
      <c r="A644" s="136">
        <v>9</v>
      </c>
      <c r="B644" s="523" t="s">
        <v>3565</v>
      </c>
      <c r="C644" s="549" t="s">
        <v>3525</v>
      </c>
      <c r="D644" s="523">
        <v>2</v>
      </c>
      <c r="E644" s="556">
        <v>370000</v>
      </c>
      <c r="F644" s="556">
        <v>740000</v>
      </c>
    </row>
    <row r="645" spans="1:6" ht="15.75">
      <c r="A645" s="136">
        <v>10</v>
      </c>
      <c r="B645" s="543" t="s">
        <v>3566</v>
      </c>
      <c r="C645" s="543" t="s">
        <v>3525</v>
      </c>
      <c r="D645" s="543">
        <v>1</v>
      </c>
      <c r="E645" s="528">
        <v>370000</v>
      </c>
      <c r="F645" s="555">
        <v>370000</v>
      </c>
    </row>
    <row r="646" spans="1:6" ht="15.75">
      <c r="A646" s="136">
        <v>11</v>
      </c>
      <c r="B646" s="549" t="s">
        <v>3567</v>
      </c>
      <c r="C646" s="549" t="s">
        <v>286</v>
      </c>
      <c r="D646" s="549">
        <v>1</v>
      </c>
      <c r="E646" s="553">
        <v>4600000</v>
      </c>
      <c r="F646" s="556">
        <v>4600000</v>
      </c>
    </row>
    <row r="647" spans="1:6" ht="15.75">
      <c r="A647" s="136">
        <v>12</v>
      </c>
      <c r="B647" s="543" t="s">
        <v>3568</v>
      </c>
      <c r="C647" s="543" t="s">
        <v>3525</v>
      </c>
      <c r="D647" s="543">
        <v>3</v>
      </c>
      <c r="E647" s="554">
        <v>1215000</v>
      </c>
      <c r="F647" s="555">
        <v>3645000</v>
      </c>
    </row>
    <row r="648" spans="1:6" ht="40.5" customHeight="1">
      <c r="A648" s="136"/>
      <c r="B648" s="1254" t="s">
        <v>3606</v>
      </c>
      <c r="C648" s="1255"/>
      <c r="D648" s="1255"/>
      <c r="E648" s="1255"/>
      <c r="F648" s="1255"/>
    </row>
    <row r="649" spans="1:6" ht="15.75">
      <c r="A649" s="136">
        <v>1</v>
      </c>
      <c r="B649" s="523" t="s">
        <v>3570</v>
      </c>
      <c r="C649" s="523" t="s">
        <v>1176</v>
      </c>
      <c r="D649" s="537">
        <v>100</v>
      </c>
      <c r="E649" s="538">
        <v>52000</v>
      </c>
      <c r="F649" s="556">
        <v>5200000</v>
      </c>
    </row>
    <row r="650" spans="1:6" ht="15.75">
      <c r="A650" s="136">
        <v>2</v>
      </c>
      <c r="B650" s="524" t="s">
        <v>3571</v>
      </c>
      <c r="C650" s="524" t="s">
        <v>1176</v>
      </c>
      <c r="D650" s="524">
        <v>100</v>
      </c>
      <c r="E650" s="533">
        <v>52000</v>
      </c>
      <c r="F650" s="555">
        <v>5200000</v>
      </c>
    </row>
    <row r="651" spans="1:6" ht="15.75">
      <c r="A651" s="136">
        <v>3</v>
      </c>
      <c r="B651" s="523" t="s">
        <v>3570</v>
      </c>
      <c r="C651" s="523" t="s">
        <v>1176</v>
      </c>
      <c r="D651" s="537">
        <v>150</v>
      </c>
      <c r="E651" s="538">
        <v>52000</v>
      </c>
      <c r="F651" s="556">
        <v>7800000</v>
      </c>
    </row>
    <row r="652" spans="1:6" ht="31.5">
      <c r="A652" s="136">
        <v>4</v>
      </c>
      <c r="B652" s="524" t="s">
        <v>3572</v>
      </c>
      <c r="C652" s="524" t="s">
        <v>286</v>
      </c>
      <c r="D652" s="524">
        <v>2000</v>
      </c>
      <c r="E652" s="533">
        <v>650</v>
      </c>
      <c r="F652" s="555">
        <v>1300000</v>
      </c>
    </row>
    <row r="653" spans="1:6" ht="15.75">
      <c r="A653" s="136">
        <v>5</v>
      </c>
      <c r="B653" s="523" t="s">
        <v>3573</v>
      </c>
      <c r="C653" s="523" t="s">
        <v>286</v>
      </c>
      <c r="D653" s="523">
        <v>1000</v>
      </c>
      <c r="E653" s="523">
        <v>1000</v>
      </c>
      <c r="F653" s="556">
        <v>1000000</v>
      </c>
    </row>
    <row r="654" spans="1:6" ht="15.75">
      <c r="A654" s="136">
        <v>6</v>
      </c>
      <c r="B654" s="524" t="s">
        <v>3574</v>
      </c>
      <c r="C654" s="524" t="s">
        <v>286</v>
      </c>
      <c r="D654" s="524">
        <v>100</v>
      </c>
      <c r="E654" s="533">
        <v>60000</v>
      </c>
      <c r="F654" s="555">
        <v>6000000</v>
      </c>
    </row>
    <row r="655" spans="1:6" ht="15.75">
      <c r="A655" s="136">
        <v>7</v>
      </c>
      <c r="B655" s="523" t="s">
        <v>3575</v>
      </c>
      <c r="C655" s="523" t="s">
        <v>1176</v>
      </c>
      <c r="D655" s="523">
        <v>150</v>
      </c>
      <c r="E655" s="534">
        <v>30000</v>
      </c>
      <c r="F655" s="556">
        <v>4500000</v>
      </c>
    </row>
    <row r="656" spans="1:6" ht="15.75">
      <c r="A656" s="136">
        <v>8</v>
      </c>
      <c r="B656" s="524" t="s">
        <v>3576</v>
      </c>
      <c r="C656" s="524" t="s">
        <v>692</v>
      </c>
      <c r="D656" s="524">
        <v>12</v>
      </c>
      <c r="E656" s="524">
        <v>91800</v>
      </c>
      <c r="F656" s="555">
        <v>1101600</v>
      </c>
    </row>
    <row r="657" spans="1:6" ht="15.75">
      <c r="A657" s="136">
        <v>9</v>
      </c>
      <c r="B657" s="523" t="s">
        <v>3577</v>
      </c>
      <c r="C657" s="523" t="s">
        <v>286</v>
      </c>
      <c r="D657" s="523">
        <v>15000</v>
      </c>
      <c r="E657" s="523">
        <v>410</v>
      </c>
      <c r="F657" s="556">
        <v>6150000</v>
      </c>
    </row>
    <row r="658" spans="1:6" ht="15.75">
      <c r="A658" s="136">
        <v>10</v>
      </c>
      <c r="B658" s="524" t="s">
        <v>3578</v>
      </c>
      <c r="C658" s="524" t="s">
        <v>286</v>
      </c>
      <c r="D658" s="524">
        <v>10</v>
      </c>
      <c r="E658" s="524">
        <v>48000</v>
      </c>
      <c r="F658" s="555">
        <v>480000</v>
      </c>
    </row>
    <row r="659" spans="1:6" ht="15.75">
      <c r="A659" s="136">
        <v>11</v>
      </c>
      <c r="B659" s="523" t="s">
        <v>3579</v>
      </c>
      <c r="C659" s="523" t="s">
        <v>286</v>
      </c>
      <c r="D659" s="523">
        <v>60</v>
      </c>
      <c r="E659" s="523">
        <v>50000</v>
      </c>
      <c r="F659" s="556">
        <v>3000000</v>
      </c>
    </row>
    <row r="660" spans="1:6" ht="31.5">
      <c r="A660" s="136">
        <v>12</v>
      </c>
      <c r="B660" s="543" t="s">
        <v>3580</v>
      </c>
      <c r="C660" s="543" t="s">
        <v>286</v>
      </c>
      <c r="D660" s="543">
        <v>300</v>
      </c>
      <c r="E660" s="543">
        <v>1000</v>
      </c>
      <c r="F660" s="555">
        <v>300000</v>
      </c>
    </row>
    <row r="661" spans="1:6" ht="15.75">
      <c r="A661" s="136">
        <v>13</v>
      </c>
      <c r="B661" s="549" t="s">
        <v>3581</v>
      </c>
      <c r="C661" s="549" t="s">
        <v>286</v>
      </c>
      <c r="D661" s="553">
        <v>10000</v>
      </c>
      <c r="E661" s="549">
        <v>420</v>
      </c>
      <c r="F661" s="556">
        <v>4200000</v>
      </c>
    </row>
    <row r="662" spans="1:6" ht="15.75">
      <c r="A662" s="136">
        <v>14</v>
      </c>
      <c r="B662" s="543" t="s">
        <v>3582</v>
      </c>
      <c r="C662" s="543" t="s">
        <v>286</v>
      </c>
      <c r="D662" s="543">
        <v>50</v>
      </c>
      <c r="E662" s="543">
        <v>18000</v>
      </c>
      <c r="F662" s="555">
        <v>900000</v>
      </c>
    </row>
    <row r="663" spans="1:6" ht="15.75">
      <c r="A663" s="136">
        <v>15</v>
      </c>
      <c r="B663" s="549" t="s">
        <v>3583</v>
      </c>
      <c r="C663" s="549" t="s">
        <v>1176</v>
      </c>
      <c r="D663" s="549">
        <v>100</v>
      </c>
      <c r="E663" s="549">
        <v>30000</v>
      </c>
      <c r="F663" s="556">
        <v>3000000</v>
      </c>
    </row>
    <row r="664" spans="1:6" ht="31.5">
      <c r="A664" s="136">
        <v>16</v>
      </c>
      <c r="B664" s="543" t="s">
        <v>3584</v>
      </c>
      <c r="C664" s="543" t="s">
        <v>286</v>
      </c>
      <c r="D664" s="543">
        <v>5</v>
      </c>
      <c r="E664" s="528">
        <v>45000</v>
      </c>
      <c r="F664" s="555">
        <v>225000</v>
      </c>
    </row>
    <row r="665" spans="1:6" ht="31.5">
      <c r="A665" s="136">
        <v>17</v>
      </c>
      <c r="B665" s="549" t="s">
        <v>3584</v>
      </c>
      <c r="C665" s="549" t="s">
        <v>286</v>
      </c>
      <c r="D665" s="549">
        <v>30</v>
      </c>
      <c r="E665" s="525">
        <v>45000</v>
      </c>
      <c r="F665" s="556">
        <v>1350000</v>
      </c>
    </row>
    <row r="666" spans="1:6" ht="31.5">
      <c r="A666" s="136">
        <v>18</v>
      </c>
      <c r="B666" s="543" t="s">
        <v>3584</v>
      </c>
      <c r="C666" s="543" t="s">
        <v>286</v>
      </c>
      <c r="D666" s="543">
        <v>5</v>
      </c>
      <c r="E666" s="528">
        <v>45000</v>
      </c>
      <c r="F666" s="555">
        <v>225000</v>
      </c>
    </row>
    <row r="667" spans="1:6" ht="31.5">
      <c r="A667" s="136">
        <v>19</v>
      </c>
      <c r="B667" s="549" t="s">
        <v>3584</v>
      </c>
      <c r="C667" s="549" t="s">
        <v>286</v>
      </c>
      <c r="D667" s="549">
        <v>5</v>
      </c>
      <c r="E667" s="525">
        <v>45000</v>
      </c>
      <c r="F667" s="556">
        <v>225000</v>
      </c>
    </row>
    <row r="668" spans="1:6" ht="31.5">
      <c r="A668" s="136">
        <v>20</v>
      </c>
      <c r="B668" s="543" t="s">
        <v>3584</v>
      </c>
      <c r="C668" s="543" t="s">
        <v>286</v>
      </c>
      <c r="D668" s="543">
        <v>10</v>
      </c>
      <c r="E668" s="528">
        <v>35000</v>
      </c>
      <c r="F668" s="555">
        <v>350000</v>
      </c>
    </row>
    <row r="669" spans="1:6" ht="31.5">
      <c r="A669" s="136">
        <v>21</v>
      </c>
      <c r="B669" s="549" t="s">
        <v>3584</v>
      </c>
      <c r="C669" s="549" t="s">
        <v>286</v>
      </c>
      <c r="D669" s="549">
        <v>10</v>
      </c>
      <c r="E669" s="525">
        <v>35000</v>
      </c>
      <c r="F669" s="556">
        <v>350000</v>
      </c>
    </row>
    <row r="670" spans="1:6" ht="31.5">
      <c r="A670" s="136">
        <v>22</v>
      </c>
      <c r="B670" s="543" t="s">
        <v>3584</v>
      </c>
      <c r="C670" s="543" t="s">
        <v>286</v>
      </c>
      <c r="D670" s="543">
        <v>10</v>
      </c>
      <c r="E670" s="528">
        <v>35000</v>
      </c>
      <c r="F670" s="555">
        <v>350000</v>
      </c>
    </row>
    <row r="671" spans="1:6" ht="31.5">
      <c r="A671" s="136">
        <v>23</v>
      </c>
      <c r="B671" s="549" t="s">
        <v>3584</v>
      </c>
      <c r="C671" s="549" t="s">
        <v>286</v>
      </c>
      <c r="D671" s="549">
        <v>10</v>
      </c>
      <c r="E671" s="525">
        <v>33000</v>
      </c>
      <c r="F671" s="556">
        <v>330000</v>
      </c>
    </row>
    <row r="672" spans="1:6" ht="31.5">
      <c r="A672" s="136">
        <v>24</v>
      </c>
      <c r="B672" s="543" t="s">
        <v>3584</v>
      </c>
      <c r="C672" s="543" t="s">
        <v>286</v>
      </c>
      <c r="D672" s="543">
        <v>10</v>
      </c>
      <c r="E672" s="528">
        <v>32000</v>
      </c>
      <c r="F672" s="555">
        <v>320000</v>
      </c>
    </row>
    <row r="673" spans="1:6" ht="31.5">
      <c r="A673" s="136">
        <v>25</v>
      </c>
      <c r="B673" s="549" t="s">
        <v>3584</v>
      </c>
      <c r="C673" s="549" t="s">
        <v>286</v>
      </c>
      <c r="D673" s="549">
        <v>10</v>
      </c>
      <c r="E673" s="525">
        <v>32000</v>
      </c>
      <c r="F673" s="556">
        <v>320000</v>
      </c>
    </row>
    <row r="674" spans="1:6" ht="15.75">
      <c r="A674" s="136">
        <v>26</v>
      </c>
      <c r="B674" s="543" t="s">
        <v>3585</v>
      </c>
      <c r="C674" s="543" t="s">
        <v>286</v>
      </c>
      <c r="D674" s="543">
        <v>10</v>
      </c>
      <c r="E674" s="528">
        <v>33000</v>
      </c>
      <c r="F674" s="555">
        <v>330000</v>
      </c>
    </row>
    <row r="675" spans="1:6" ht="15.75">
      <c r="A675" s="136">
        <v>27</v>
      </c>
      <c r="B675" s="549" t="s">
        <v>3586</v>
      </c>
      <c r="C675" s="549" t="s">
        <v>286</v>
      </c>
      <c r="D675" s="549">
        <v>40</v>
      </c>
      <c r="E675" s="525">
        <v>45000</v>
      </c>
      <c r="F675" s="556">
        <v>1800000</v>
      </c>
    </row>
    <row r="676" spans="1:6" ht="15.75">
      <c r="A676" s="136">
        <v>28</v>
      </c>
      <c r="B676" s="543" t="s">
        <v>3581</v>
      </c>
      <c r="C676" s="543" t="s">
        <v>286</v>
      </c>
      <c r="D676" s="554">
        <v>10000</v>
      </c>
      <c r="E676" s="528">
        <v>420</v>
      </c>
      <c r="F676" s="555">
        <v>4200000</v>
      </c>
    </row>
    <row r="677" spans="1:6" ht="15.75">
      <c r="A677" s="136">
        <v>29</v>
      </c>
      <c r="B677" s="549" t="s">
        <v>3582</v>
      </c>
      <c r="C677" s="549" t="s">
        <v>286</v>
      </c>
      <c r="D677" s="549">
        <v>50</v>
      </c>
      <c r="E677" s="525">
        <v>18000</v>
      </c>
      <c r="F677" s="556">
        <v>900000</v>
      </c>
    </row>
    <row r="678" spans="1:6" ht="15.75">
      <c r="A678" s="136">
        <v>30</v>
      </c>
      <c r="B678" s="543" t="s">
        <v>3581</v>
      </c>
      <c r="C678" s="543" t="s">
        <v>286</v>
      </c>
      <c r="D678" s="554">
        <v>10000</v>
      </c>
      <c r="E678" s="543">
        <v>420</v>
      </c>
      <c r="F678" s="555">
        <v>4200000</v>
      </c>
    </row>
    <row r="679" spans="1:6" ht="15.75">
      <c r="A679" s="136">
        <v>31</v>
      </c>
      <c r="B679" s="549" t="s">
        <v>3587</v>
      </c>
      <c r="C679" s="549" t="s">
        <v>286</v>
      </c>
      <c r="D679" s="553">
        <v>250</v>
      </c>
      <c r="E679" s="549">
        <v>6000</v>
      </c>
      <c r="F679" s="556">
        <v>1500000</v>
      </c>
    </row>
    <row r="680" spans="1:6" ht="15.75">
      <c r="A680" s="136">
        <v>32</v>
      </c>
      <c r="B680" s="543" t="s">
        <v>3582</v>
      </c>
      <c r="C680" s="543" t="s">
        <v>286</v>
      </c>
      <c r="D680" s="543">
        <v>50</v>
      </c>
      <c r="E680" s="543">
        <v>18000</v>
      </c>
      <c r="F680" s="555">
        <v>900000</v>
      </c>
    </row>
    <row r="681" spans="1:6" ht="15.75">
      <c r="A681" s="136">
        <v>33</v>
      </c>
      <c r="B681" s="549" t="s">
        <v>3588</v>
      </c>
      <c r="C681" s="549" t="s">
        <v>286</v>
      </c>
      <c r="D681" s="549">
        <v>62</v>
      </c>
      <c r="E681" s="525">
        <v>250000</v>
      </c>
      <c r="F681" s="556">
        <v>15500000</v>
      </c>
    </row>
    <row r="682" spans="1:6" ht="15.75">
      <c r="A682" s="136">
        <v>34</v>
      </c>
      <c r="B682" s="524" t="s">
        <v>3589</v>
      </c>
      <c r="C682" s="524" t="s">
        <v>286</v>
      </c>
      <c r="D682" s="524">
        <v>5000</v>
      </c>
      <c r="E682" s="555">
        <v>500</v>
      </c>
      <c r="F682" s="555">
        <v>2500000</v>
      </c>
    </row>
    <row r="683" spans="1:6" ht="15.75">
      <c r="A683" s="136">
        <v>35</v>
      </c>
      <c r="B683" s="523" t="s">
        <v>3590</v>
      </c>
      <c r="C683" s="523" t="s">
        <v>286</v>
      </c>
      <c r="D683" s="523">
        <v>4</v>
      </c>
      <c r="E683" s="534">
        <v>110000</v>
      </c>
      <c r="F683" s="556">
        <v>440000</v>
      </c>
    </row>
    <row r="684" spans="1:6" ht="15.75">
      <c r="A684" s="136">
        <v>36</v>
      </c>
      <c r="B684" s="524" t="s">
        <v>3591</v>
      </c>
      <c r="C684" s="524" t="s">
        <v>286</v>
      </c>
      <c r="D684" s="524">
        <v>10</v>
      </c>
      <c r="E684" s="533">
        <v>80000</v>
      </c>
      <c r="F684" s="555">
        <v>800000</v>
      </c>
    </row>
    <row r="685" spans="1:6" ht="15.75">
      <c r="A685" s="136">
        <v>37</v>
      </c>
      <c r="B685" s="523" t="s">
        <v>3592</v>
      </c>
      <c r="C685" s="523" t="s">
        <v>286</v>
      </c>
      <c r="D685" s="523">
        <v>2</v>
      </c>
      <c r="E685" s="534">
        <v>70000</v>
      </c>
      <c r="F685" s="556">
        <v>140000</v>
      </c>
    </row>
    <row r="686" spans="1:6" ht="31.5">
      <c r="A686" s="136">
        <v>38</v>
      </c>
      <c r="B686" s="524" t="s">
        <v>3593</v>
      </c>
      <c r="C686" s="524" t="s">
        <v>286</v>
      </c>
      <c r="D686" s="524">
        <v>6</v>
      </c>
      <c r="E686" s="533">
        <v>65000</v>
      </c>
      <c r="F686" s="555">
        <v>390000</v>
      </c>
    </row>
    <row r="687" spans="1:6" ht="15.75">
      <c r="A687" s="136">
        <v>39</v>
      </c>
      <c r="B687" s="549" t="s">
        <v>3594</v>
      </c>
      <c r="C687" s="549" t="s">
        <v>286</v>
      </c>
      <c r="D687" s="549">
        <v>2</v>
      </c>
      <c r="E687" s="553">
        <v>300000</v>
      </c>
      <c r="F687" s="556">
        <v>600000</v>
      </c>
    </row>
    <row r="688" spans="1:6" ht="15.75">
      <c r="A688" s="136">
        <v>40</v>
      </c>
      <c r="B688" s="543" t="s">
        <v>3595</v>
      </c>
      <c r="C688" s="543" t="s">
        <v>286</v>
      </c>
      <c r="D688" s="543">
        <v>2000</v>
      </c>
      <c r="E688" s="554">
        <v>500</v>
      </c>
      <c r="F688" s="555">
        <v>1000000</v>
      </c>
    </row>
    <row r="689" spans="1:6" ht="15.75">
      <c r="A689" s="136">
        <v>41</v>
      </c>
      <c r="B689" s="549" t="s">
        <v>3595</v>
      </c>
      <c r="C689" s="549" t="s">
        <v>286</v>
      </c>
      <c r="D689" s="549">
        <v>1000</v>
      </c>
      <c r="E689" s="549">
        <v>600</v>
      </c>
      <c r="F689" s="556">
        <v>600000</v>
      </c>
    </row>
    <row r="690" spans="1:6" ht="15.75">
      <c r="A690" s="136">
        <v>42</v>
      </c>
      <c r="B690" s="543" t="s">
        <v>3596</v>
      </c>
      <c r="C690" s="543" t="s">
        <v>286</v>
      </c>
      <c r="D690" s="543">
        <v>8</v>
      </c>
      <c r="E690" s="543">
        <v>35000</v>
      </c>
      <c r="F690" s="555">
        <v>280000</v>
      </c>
    </row>
    <row r="691" spans="1:6" ht="15.75">
      <c r="A691" s="136">
        <v>43</v>
      </c>
      <c r="B691" s="549" t="s">
        <v>3597</v>
      </c>
      <c r="C691" s="549" t="s">
        <v>286</v>
      </c>
      <c r="D691" s="549">
        <v>20</v>
      </c>
      <c r="E691" s="549">
        <v>30000</v>
      </c>
      <c r="F691" s="556">
        <v>600000</v>
      </c>
    </row>
    <row r="692" spans="1:6" ht="15.75">
      <c r="A692" s="136">
        <v>44</v>
      </c>
      <c r="B692" s="543" t="s">
        <v>3598</v>
      </c>
      <c r="C692" s="543" t="s">
        <v>286</v>
      </c>
      <c r="D692" s="543">
        <v>5</v>
      </c>
      <c r="E692" s="543">
        <v>32000</v>
      </c>
      <c r="F692" s="555">
        <v>160000</v>
      </c>
    </row>
    <row r="693" spans="1:6" ht="15.75">
      <c r="A693" s="136">
        <v>45</v>
      </c>
      <c r="B693" s="573" t="s">
        <v>3599</v>
      </c>
      <c r="C693" s="545" t="s">
        <v>286</v>
      </c>
      <c r="D693" s="579">
        <v>15000</v>
      </c>
      <c r="E693" s="531">
        <v>1000</v>
      </c>
      <c r="F693" s="525">
        <v>15000000</v>
      </c>
    </row>
    <row r="694" spans="1:6" ht="47.25">
      <c r="A694" s="136">
        <v>46</v>
      </c>
      <c r="B694" s="547" t="s">
        <v>3600</v>
      </c>
      <c r="C694" s="547" t="s">
        <v>286</v>
      </c>
      <c r="D694" s="547">
        <v>60</v>
      </c>
      <c r="E694" s="526">
        <v>40000</v>
      </c>
      <c r="F694" s="528">
        <v>2400000</v>
      </c>
    </row>
    <row r="695" spans="1:6" ht="47.25">
      <c r="A695" s="136">
        <v>47</v>
      </c>
      <c r="B695" s="545" t="s">
        <v>3601</v>
      </c>
      <c r="C695" s="545" t="s">
        <v>286</v>
      </c>
      <c r="D695" s="545">
        <v>60</v>
      </c>
      <c r="E695" s="527">
        <v>40000</v>
      </c>
      <c r="F695" s="525">
        <v>2400000</v>
      </c>
    </row>
    <row r="696" spans="1:6" ht="47.25">
      <c r="A696" s="136">
        <v>48</v>
      </c>
      <c r="B696" s="547" t="s">
        <v>3602</v>
      </c>
      <c r="C696" s="547" t="s">
        <v>3603</v>
      </c>
      <c r="D696" s="547">
        <v>95</v>
      </c>
      <c r="E696" s="526">
        <v>35000</v>
      </c>
      <c r="F696" s="528">
        <v>3325000</v>
      </c>
    </row>
    <row r="697" spans="1:6" ht="15.75">
      <c r="A697" s="136">
        <v>49</v>
      </c>
      <c r="B697" s="579" t="s">
        <v>3604</v>
      </c>
      <c r="C697" s="579" t="s">
        <v>286</v>
      </c>
      <c r="D697" s="579">
        <v>1000</v>
      </c>
      <c r="E697" s="579">
        <v>500</v>
      </c>
      <c r="F697" s="531">
        <v>500000</v>
      </c>
    </row>
    <row r="698" spans="1:6" ht="15.75">
      <c r="A698" s="136">
        <v>50</v>
      </c>
      <c r="B698" s="578" t="s">
        <v>3604</v>
      </c>
      <c r="C698" s="578" t="s">
        <v>286</v>
      </c>
      <c r="D698" s="578">
        <v>1000</v>
      </c>
      <c r="E698" s="578">
        <v>500</v>
      </c>
      <c r="F698" s="532">
        <v>500000</v>
      </c>
    </row>
    <row r="699" spans="1:6" ht="15.75">
      <c r="A699" s="136">
        <v>51</v>
      </c>
      <c r="B699" s="579" t="s">
        <v>3604</v>
      </c>
      <c r="C699" s="579" t="s">
        <v>286</v>
      </c>
      <c r="D699" s="579">
        <v>1000</v>
      </c>
      <c r="E699" s="579">
        <v>500</v>
      </c>
      <c r="F699" s="531">
        <v>500000</v>
      </c>
    </row>
    <row r="700" spans="1:6" ht="15.75">
      <c r="A700" s="136">
        <v>52</v>
      </c>
      <c r="B700" s="578" t="s">
        <v>3604</v>
      </c>
      <c r="C700" s="578" t="s">
        <v>286</v>
      </c>
      <c r="D700" s="578">
        <v>1000</v>
      </c>
      <c r="E700" s="578">
        <v>500</v>
      </c>
      <c r="F700" s="532">
        <v>500000</v>
      </c>
    </row>
    <row r="701" spans="1:6" ht="15.75">
      <c r="A701" s="136">
        <v>53</v>
      </c>
      <c r="B701" s="579" t="s">
        <v>3605</v>
      </c>
      <c r="C701" s="579" t="s">
        <v>286</v>
      </c>
      <c r="D701" s="579">
        <v>100</v>
      </c>
      <c r="E701" s="579">
        <v>40000</v>
      </c>
      <c r="F701" s="531">
        <v>4000000</v>
      </c>
    </row>
    <row r="702" spans="1:6" ht="15.75">
      <c r="A702" s="136">
        <v>54</v>
      </c>
      <c r="B702" s="543" t="s">
        <v>3583</v>
      </c>
      <c r="C702" s="543" t="s">
        <v>1176</v>
      </c>
      <c r="D702" s="578">
        <v>50</v>
      </c>
      <c r="E702" s="578">
        <v>40000</v>
      </c>
      <c r="F702" s="532">
        <v>2000000</v>
      </c>
    </row>
    <row r="703" spans="1:6" ht="43.5" customHeight="1">
      <c r="A703" s="136"/>
      <c r="B703" s="1254" t="s">
        <v>3612</v>
      </c>
      <c r="C703" s="1255"/>
      <c r="D703" s="1255"/>
      <c r="E703" s="1255"/>
      <c r="F703" s="1255"/>
    </row>
    <row r="704" spans="1:6" ht="15.75">
      <c r="A704" s="136">
        <v>1</v>
      </c>
      <c r="B704" s="523" t="s">
        <v>3607</v>
      </c>
      <c r="C704" s="523" t="s">
        <v>286</v>
      </c>
      <c r="D704" s="537">
        <v>400</v>
      </c>
      <c r="E704" s="538">
        <v>57000</v>
      </c>
      <c r="F704" s="556">
        <v>22800000</v>
      </c>
    </row>
    <row r="705" spans="1:6" ht="47.25">
      <c r="A705" s="136">
        <v>2</v>
      </c>
      <c r="B705" s="524" t="s">
        <v>3608</v>
      </c>
      <c r="C705" s="524" t="s">
        <v>286</v>
      </c>
      <c r="D705" s="524">
        <v>2</v>
      </c>
      <c r="E705" s="533">
        <v>500000</v>
      </c>
      <c r="F705" s="555">
        <v>1000000</v>
      </c>
    </row>
    <row r="706" spans="1:6" ht="15.75">
      <c r="A706" s="136">
        <v>3</v>
      </c>
      <c r="B706" s="523" t="s">
        <v>3609</v>
      </c>
      <c r="C706" s="523" t="s">
        <v>286</v>
      </c>
      <c r="D706" s="523">
        <v>23</v>
      </c>
      <c r="E706" s="534">
        <v>53000</v>
      </c>
      <c r="F706" s="556">
        <v>1219000</v>
      </c>
    </row>
    <row r="707" spans="1:6" ht="15.75">
      <c r="A707" s="136">
        <v>4</v>
      </c>
      <c r="B707" s="543" t="s">
        <v>3610</v>
      </c>
      <c r="C707" s="543" t="s">
        <v>286</v>
      </c>
      <c r="D707" s="543">
        <v>50</v>
      </c>
      <c r="E707" s="543">
        <v>50000</v>
      </c>
      <c r="F707" s="528">
        <v>2500000</v>
      </c>
    </row>
    <row r="708" spans="1:6" ht="15.75">
      <c r="A708" s="136">
        <v>5</v>
      </c>
      <c r="B708" s="549" t="s">
        <v>3611</v>
      </c>
      <c r="C708" s="549" t="s">
        <v>286</v>
      </c>
      <c r="D708" s="549">
        <v>50</v>
      </c>
      <c r="E708" s="549">
        <v>50000</v>
      </c>
      <c r="F708" s="525">
        <v>2500000</v>
      </c>
    </row>
    <row r="709" spans="1:6" ht="15.75">
      <c r="A709" s="136">
        <v>6</v>
      </c>
      <c r="B709" s="543" t="s">
        <v>1042</v>
      </c>
      <c r="C709" s="578" t="s">
        <v>286</v>
      </c>
      <c r="D709" s="600">
        <v>15</v>
      </c>
      <c r="E709" s="600">
        <v>50000</v>
      </c>
      <c r="F709" s="532">
        <v>750000</v>
      </c>
    </row>
    <row r="710" spans="1:6" ht="15.75">
      <c r="A710" s="136">
        <v>7</v>
      </c>
      <c r="B710" s="549" t="s">
        <v>1044</v>
      </c>
      <c r="C710" s="579" t="s">
        <v>1177</v>
      </c>
      <c r="D710" s="601">
        <v>50</v>
      </c>
      <c r="E710" s="601">
        <v>55000</v>
      </c>
      <c r="F710" s="531">
        <v>2750000</v>
      </c>
    </row>
    <row r="711" spans="1:6">
      <c r="A711" s="136"/>
      <c r="B711" s="1255" t="s">
        <v>3613</v>
      </c>
      <c r="C711" s="1255"/>
      <c r="D711" s="1255"/>
      <c r="E711" s="1255"/>
      <c r="F711" s="1255"/>
    </row>
    <row r="712" spans="1:6" ht="31.5">
      <c r="A712" s="136">
        <v>1</v>
      </c>
      <c r="B712" s="573" t="s">
        <v>3614</v>
      </c>
      <c r="C712" s="545" t="s">
        <v>3525</v>
      </c>
      <c r="D712" s="546">
        <v>25</v>
      </c>
      <c r="E712" s="527">
        <v>100000</v>
      </c>
      <c r="F712" s="556">
        <v>2500000</v>
      </c>
    </row>
    <row r="713" spans="1:6" ht="47.25">
      <c r="A713" s="136">
        <v>2</v>
      </c>
      <c r="B713" s="592" t="s">
        <v>3615</v>
      </c>
      <c r="C713" s="547" t="s">
        <v>3525</v>
      </c>
      <c r="D713" s="548">
        <v>25</v>
      </c>
      <c r="E713" s="526">
        <v>100000</v>
      </c>
      <c r="F713" s="555">
        <v>2500000</v>
      </c>
    </row>
    <row r="714" spans="1:6" ht="15.75">
      <c r="A714" s="136">
        <v>3</v>
      </c>
      <c r="B714" s="523" t="s">
        <v>3616</v>
      </c>
      <c r="C714" s="537" t="s">
        <v>278</v>
      </c>
      <c r="D714" s="537">
        <v>4</v>
      </c>
      <c r="E714" s="580">
        <v>7025000</v>
      </c>
      <c r="F714" s="556">
        <v>28100000</v>
      </c>
    </row>
    <row r="715" spans="1:6" ht="31.5">
      <c r="A715" s="136">
        <v>4</v>
      </c>
      <c r="B715" s="524" t="s">
        <v>3617</v>
      </c>
      <c r="C715" s="539" t="s">
        <v>286</v>
      </c>
      <c r="D715" s="539">
        <v>2</v>
      </c>
      <c r="E715" s="587">
        <v>4422000</v>
      </c>
      <c r="F715" s="555">
        <v>8844000</v>
      </c>
    </row>
    <row r="716" spans="1:6" ht="31.5">
      <c r="A716" s="136">
        <v>5</v>
      </c>
      <c r="B716" s="523" t="s">
        <v>3618</v>
      </c>
      <c r="C716" s="537" t="s">
        <v>278</v>
      </c>
      <c r="D716" s="537">
        <v>5</v>
      </c>
      <c r="E716" s="580">
        <v>4850000</v>
      </c>
      <c r="F716" s="556">
        <v>24250000</v>
      </c>
    </row>
    <row r="717" spans="1:6" ht="31.5">
      <c r="A717" s="136">
        <v>6</v>
      </c>
      <c r="B717" s="524" t="s">
        <v>3619</v>
      </c>
      <c r="C717" s="539" t="s">
        <v>278</v>
      </c>
      <c r="D717" s="539">
        <v>2</v>
      </c>
      <c r="E717" s="587">
        <v>4850000</v>
      </c>
      <c r="F717" s="555">
        <v>9700000</v>
      </c>
    </row>
    <row r="718" spans="1:6" ht="15.75">
      <c r="A718" s="136">
        <v>7</v>
      </c>
      <c r="B718" s="523" t="s">
        <v>3620</v>
      </c>
      <c r="C718" s="537" t="s">
        <v>286</v>
      </c>
      <c r="D718" s="537">
        <v>1</v>
      </c>
      <c r="E718" s="580">
        <v>735900</v>
      </c>
      <c r="F718" s="556">
        <v>735900</v>
      </c>
    </row>
    <row r="719" spans="1:6" ht="15.75">
      <c r="A719" s="136">
        <v>8</v>
      </c>
      <c r="B719" s="524" t="s">
        <v>3621</v>
      </c>
      <c r="C719" s="539" t="s">
        <v>286</v>
      </c>
      <c r="D719" s="539">
        <v>15</v>
      </c>
      <c r="E719" s="587">
        <v>450000</v>
      </c>
      <c r="F719" s="555">
        <v>6750000</v>
      </c>
    </row>
    <row r="720" spans="1:6" ht="15.75">
      <c r="A720" s="136">
        <v>9</v>
      </c>
      <c r="B720" s="523" t="s">
        <v>3622</v>
      </c>
      <c r="C720" s="537" t="s">
        <v>286</v>
      </c>
      <c r="D720" s="537">
        <v>1</v>
      </c>
      <c r="E720" s="580">
        <v>150000</v>
      </c>
      <c r="F720" s="556">
        <v>150000</v>
      </c>
    </row>
    <row r="721" spans="1:6" ht="15.75">
      <c r="A721" s="136">
        <v>10</v>
      </c>
      <c r="B721" s="524" t="s">
        <v>3623</v>
      </c>
      <c r="C721" s="539" t="s">
        <v>286</v>
      </c>
      <c r="D721" s="539">
        <v>1</v>
      </c>
      <c r="E721" s="587">
        <v>100000</v>
      </c>
      <c r="F721" s="555">
        <v>100000</v>
      </c>
    </row>
    <row r="722" spans="1:6" ht="15.75">
      <c r="A722" s="136">
        <v>11</v>
      </c>
      <c r="B722" s="523" t="s">
        <v>3624</v>
      </c>
      <c r="C722" s="537" t="s">
        <v>286</v>
      </c>
      <c r="D722" s="537">
        <v>10</v>
      </c>
      <c r="E722" s="580">
        <v>25000</v>
      </c>
      <c r="F722" s="556">
        <v>250000</v>
      </c>
    </row>
    <row r="723" spans="1:6" ht="15.75">
      <c r="A723" s="136">
        <v>12</v>
      </c>
      <c r="B723" s="524" t="s">
        <v>3625</v>
      </c>
      <c r="C723" s="539" t="s">
        <v>286</v>
      </c>
      <c r="D723" s="539">
        <v>2</v>
      </c>
      <c r="E723" s="587">
        <v>100000</v>
      </c>
      <c r="F723" s="555">
        <v>200000</v>
      </c>
    </row>
    <row r="724" spans="1:6" ht="15.75">
      <c r="A724" s="136">
        <v>13</v>
      </c>
      <c r="B724" s="523" t="s">
        <v>3626</v>
      </c>
      <c r="C724" s="537" t="s">
        <v>432</v>
      </c>
      <c r="D724" s="537">
        <v>50</v>
      </c>
      <c r="E724" s="580">
        <v>30000</v>
      </c>
      <c r="F724" s="556">
        <v>1500000</v>
      </c>
    </row>
    <row r="725" spans="1:6" ht="15.75">
      <c r="A725" s="136">
        <v>14</v>
      </c>
      <c r="B725" s="524" t="s">
        <v>3627</v>
      </c>
      <c r="C725" s="539" t="s">
        <v>432</v>
      </c>
      <c r="D725" s="539">
        <v>50</v>
      </c>
      <c r="E725" s="587">
        <v>8000</v>
      </c>
      <c r="F725" s="555">
        <v>400000</v>
      </c>
    </row>
    <row r="726" spans="1:6" ht="15.75">
      <c r="A726" s="136">
        <v>15</v>
      </c>
      <c r="B726" s="523" t="s">
        <v>3628</v>
      </c>
      <c r="C726" s="537" t="s">
        <v>286</v>
      </c>
      <c r="D726" s="537">
        <v>1</v>
      </c>
      <c r="E726" s="580">
        <v>100000</v>
      </c>
      <c r="F726" s="556">
        <v>100000</v>
      </c>
    </row>
    <row r="727" spans="1:6" ht="15.75">
      <c r="A727" s="136">
        <v>16</v>
      </c>
      <c r="B727" s="524" t="s">
        <v>3629</v>
      </c>
      <c r="C727" s="539" t="s">
        <v>3630</v>
      </c>
      <c r="D727" s="539">
        <v>1</v>
      </c>
      <c r="E727" s="587">
        <v>2000000</v>
      </c>
      <c r="F727" s="555">
        <v>2000000</v>
      </c>
    </row>
    <row r="728" spans="1:6" ht="15.75">
      <c r="A728" s="136">
        <v>17</v>
      </c>
      <c r="B728" s="537" t="s">
        <v>3631</v>
      </c>
      <c r="C728" s="523" t="s">
        <v>286</v>
      </c>
      <c r="D728" s="537">
        <v>10</v>
      </c>
      <c r="E728" s="538">
        <v>60000</v>
      </c>
      <c r="F728" s="556">
        <v>600000</v>
      </c>
    </row>
    <row r="729" spans="1:6" ht="15.75">
      <c r="A729" s="136">
        <v>18</v>
      </c>
      <c r="B729" s="539" t="s">
        <v>3632</v>
      </c>
      <c r="C729" s="524" t="s">
        <v>286</v>
      </c>
      <c r="D729" s="539">
        <v>10</v>
      </c>
      <c r="E729" s="540">
        <v>30000</v>
      </c>
      <c r="F729" s="555">
        <v>300000</v>
      </c>
    </row>
    <row r="730" spans="1:6" ht="15.75">
      <c r="A730" s="136">
        <v>19</v>
      </c>
      <c r="B730" s="537" t="s">
        <v>3633</v>
      </c>
      <c r="C730" s="523" t="s">
        <v>286</v>
      </c>
      <c r="D730" s="537">
        <v>20</v>
      </c>
      <c r="E730" s="538">
        <v>20000</v>
      </c>
      <c r="F730" s="556">
        <v>400000</v>
      </c>
    </row>
    <row r="731" spans="1:6" ht="15.75">
      <c r="A731" s="136">
        <v>20</v>
      </c>
      <c r="B731" s="539" t="s">
        <v>3634</v>
      </c>
      <c r="C731" s="524" t="s">
        <v>286</v>
      </c>
      <c r="D731" s="539">
        <v>20</v>
      </c>
      <c r="E731" s="540">
        <v>20000</v>
      </c>
      <c r="F731" s="555">
        <v>400000</v>
      </c>
    </row>
    <row r="732" spans="1:6" ht="15.75">
      <c r="A732" s="136">
        <v>21</v>
      </c>
      <c r="B732" s="537" t="s">
        <v>3635</v>
      </c>
      <c r="C732" s="523" t="s">
        <v>286</v>
      </c>
      <c r="D732" s="537">
        <v>20</v>
      </c>
      <c r="E732" s="538">
        <v>22000</v>
      </c>
      <c r="F732" s="556">
        <v>440000</v>
      </c>
    </row>
    <row r="733" spans="1:6" ht="15.75">
      <c r="A733" s="136">
        <v>22</v>
      </c>
      <c r="B733" s="539" t="s">
        <v>3636</v>
      </c>
      <c r="C733" s="524" t="s">
        <v>286</v>
      </c>
      <c r="D733" s="539">
        <v>5</v>
      </c>
      <c r="E733" s="540">
        <v>250000</v>
      </c>
      <c r="F733" s="555">
        <v>1250000</v>
      </c>
    </row>
    <row r="734" spans="1:6" ht="15.75">
      <c r="A734" s="136">
        <v>23</v>
      </c>
      <c r="B734" s="537" t="s">
        <v>3637</v>
      </c>
      <c r="C734" s="523" t="s">
        <v>278</v>
      </c>
      <c r="D734" s="537">
        <v>2</v>
      </c>
      <c r="E734" s="538">
        <v>2100000</v>
      </c>
      <c r="F734" s="556">
        <v>4200000</v>
      </c>
    </row>
    <row r="735" spans="1:6" ht="15.75">
      <c r="A735" s="136">
        <v>24</v>
      </c>
      <c r="B735" s="539" t="s">
        <v>3638</v>
      </c>
      <c r="C735" s="524" t="s">
        <v>278</v>
      </c>
      <c r="D735" s="539">
        <v>2</v>
      </c>
      <c r="E735" s="540">
        <v>3700000</v>
      </c>
      <c r="F735" s="555">
        <v>7400000</v>
      </c>
    </row>
    <row r="736" spans="1:6" ht="47.25">
      <c r="A736" s="136">
        <v>25</v>
      </c>
      <c r="B736" s="525" t="s">
        <v>3639</v>
      </c>
      <c r="C736" s="525" t="s">
        <v>286</v>
      </c>
      <c r="D736" s="588">
        <v>5</v>
      </c>
      <c r="E736" s="602">
        <v>1500000</v>
      </c>
      <c r="F736" s="556">
        <v>7500000</v>
      </c>
    </row>
    <row r="737" spans="1:6" ht="31.5">
      <c r="A737" s="136">
        <v>26</v>
      </c>
      <c r="B737" s="524" t="s">
        <v>3640</v>
      </c>
      <c r="C737" s="524" t="s">
        <v>286</v>
      </c>
      <c r="D737" s="524">
        <v>1</v>
      </c>
      <c r="E737" s="524">
        <v>2944000</v>
      </c>
      <c r="F737" s="555">
        <v>2944000</v>
      </c>
    </row>
    <row r="738" spans="1:6" ht="31.5">
      <c r="A738" s="136">
        <v>27</v>
      </c>
      <c r="B738" s="523" t="s">
        <v>3641</v>
      </c>
      <c r="C738" s="523" t="s">
        <v>286</v>
      </c>
      <c r="D738" s="523">
        <v>1</v>
      </c>
      <c r="E738" s="523">
        <v>2944000</v>
      </c>
      <c r="F738" s="556">
        <v>2944000</v>
      </c>
    </row>
    <row r="739" spans="1:6" ht="15.75">
      <c r="A739" s="136">
        <v>28</v>
      </c>
      <c r="B739" s="524" t="s">
        <v>3642</v>
      </c>
      <c r="C739" s="524" t="s">
        <v>286</v>
      </c>
      <c r="D739" s="524">
        <v>3</v>
      </c>
      <c r="E739" s="524">
        <v>200000</v>
      </c>
      <c r="F739" s="555">
        <v>600000</v>
      </c>
    </row>
    <row r="740" spans="1:6" ht="15.75">
      <c r="A740" s="136">
        <v>29</v>
      </c>
      <c r="B740" s="523" t="s">
        <v>3643</v>
      </c>
      <c r="C740" s="523" t="s">
        <v>286</v>
      </c>
      <c r="D740" s="523">
        <v>1</v>
      </c>
      <c r="E740" s="523">
        <v>200000</v>
      </c>
      <c r="F740" s="556">
        <v>200000</v>
      </c>
    </row>
    <row r="741" spans="1:6" ht="31.5">
      <c r="A741" s="136">
        <v>30</v>
      </c>
      <c r="B741" s="524" t="s">
        <v>3644</v>
      </c>
      <c r="C741" s="524" t="s">
        <v>286</v>
      </c>
      <c r="D741" s="524">
        <v>2</v>
      </c>
      <c r="E741" s="524">
        <v>175000</v>
      </c>
      <c r="F741" s="555">
        <v>350000</v>
      </c>
    </row>
    <row r="742" spans="1:6" ht="15.75">
      <c r="A742" s="136">
        <v>31</v>
      </c>
      <c r="B742" s="523" t="s">
        <v>3645</v>
      </c>
      <c r="C742" s="523" t="s">
        <v>286</v>
      </c>
      <c r="D742" s="523">
        <v>15</v>
      </c>
      <c r="E742" s="523">
        <v>21000</v>
      </c>
      <c r="F742" s="556">
        <v>315000</v>
      </c>
    </row>
    <row r="743" spans="1:6" ht="15.75">
      <c r="A743" s="136">
        <v>32</v>
      </c>
      <c r="B743" s="524" t="s">
        <v>3646</v>
      </c>
      <c r="C743" s="524" t="s">
        <v>286</v>
      </c>
      <c r="D743" s="524">
        <v>10</v>
      </c>
      <c r="E743" s="524">
        <v>25000</v>
      </c>
      <c r="F743" s="555">
        <v>250000</v>
      </c>
    </row>
    <row r="744" spans="1:6" ht="15.75">
      <c r="A744" s="136">
        <v>33</v>
      </c>
      <c r="B744" s="523" t="s">
        <v>3647</v>
      </c>
      <c r="C744" s="523" t="s">
        <v>286</v>
      </c>
      <c r="D744" s="523">
        <v>5</v>
      </c>
      <c r="E744" s="523">
        <v>29000</v>
      </c>
      <c r="F744" s="556">
        <v>145000</v>
      </c>
    </row>
    <row r="745" spans="1:6" ht="15.75">
      <c r="A745" s="136">
        <v>34</v>
      </c>
      <c r="B745" s="524" t="s">
        <v>3648</v>
      </c>
      <c r="C745" s="524" t="s">
        <v>286</v>
      </c>
      <c r="D745" s="524">
        <v>2</v>
      </c>
      <c r="E745" s="524">
        <v>50000</v>
      </c>
      <c r="F745" s="555">
        <v>100000</v>
      </c>
    </row>
    <row r="746" spans="1:6" ht="15.75">
      <c r="A746" s="136">
        <v>35</v>
      </c>
      <c r="B746" s="523" t="s">
        <v>3649</v>
      </c>
      <c r="C746" s="523" t="s">
        <v>286</v>
      </c>
      <c r="D746" s="523">
        <v>2</v>
      </c>
      <c r="E746" s="523">
        <v>140000</v>
      </c>
      <c r="F746" s="556">
        <v>280000</v>
      </c>
    </row>
    <row r="747" spans="1:6" ht="15.75">
      <c r="A747" s="136">
        <v>36</v>
      </c>
      <c r="B747" s="524" t="s">
        <v>3650</v>
      </c>
      <c r="C747" s="524" t="s">
        <v>286</v>
      </c>
      <c r="D747" s="524">
        <v>10</v>
      </c>
      <c r="E747" s="524">
        <v>21000</v>
      </c>
      <c r="F747" s="555">
        <v>210000</v>
      </c>
    </row>
    <row r="748" spans="1:6" ht="15.75">
      <c r="A748" s="136">
        <v>37</v>
      </c>
      <c r="B748" s="523" t="s">
        <v>3651</v>
      </c>
      <c r="C748" s="523" t="s">
        <v>286</v>
      </c>
      <c r="D748" s="523">
        <v>10</v>
      </c>
      <c r="E748" s="523">
        <v>21000</v>
      </c>
      <c r="F748" s="556">
        <v>210000</v>
      </c>
    </row>
    <row r="749" spans="1:6" ht="15.75">
      <c r="A749" s="136">
        <v>38</v>
      </c>
      <c r="B749" s="524" t="s">
        <v>3652</v>
      </c>
      <c r="C749" s="524" t="s">
        <v>286</v>
      </c>
      <c r="D749" s="524">
        <v>10</v>
      </c>
      <c r="E749" s="524">
        <v>21000</v>
      </c>
      <c r="F749" s="555">
        <v>210000</v>
      </c>
    </row>
    <row r="750" spans="1:6" ht="15.75">
      <c r="A750" s="136">
        <v>39</v>
      </c>
      <c r="B750" s="523" t="s">
        <v>3653</v>
      </c>
      <c r="C750" s="523" t="s">
        <v>286</v>
      </c>
      <c r="D750" s="523">
        <v>10</v>
      </c>
      <c r="E750" s="523">
        <v>15000</v>
      </c>
      <c r="F750" s="556">
        <v>150000</v>
      </c>
    </row>
    <row r="751" spans="1:6" ht="15.75">
      <c r="A751" s="136">
        <v>40</v>
      </c>
      <c r="B751" s="592" t="s">
        <v>3654</v>
      </c>
      <c r="C751" s="547" t="s">
        <v>286</v>
      </c>
      <c r="D751" s="548">
        <v>10</v>
      </c>
      <c r="E751" s="526">
        <v>25000</v>
      </c>
      <c r="F751" s="555">
        <v>250000</v>
      </c>
    </row>
    <row r="752" spans="1:6" ht="31.5">
      <c r="A752" s="136">
        <v>41</v>
      </c>
      <c r="B752" s="573" t="s">
        <v>3655</v>
      </c>
      <c r="C752" s="545" t="s">
        <v>286</v>
      </c>
      <c r="D752" s="546">
        <v>10</v>
      </c>
      <c r="E752" s="527">
        <v>25000</v>
      </c>
      <c r="F752" s="556">
        <v>250000</v>
      </c>
    </row>
    <row r="753" spans="1:6" ht="31.5">
      <c r="A753" s="136">
        <v>42</v>
      </c>
      <c r="B753" s="592" t="s">
        <v>3656</v>
      </c>
      <c r="C753" s="539" t="s">
        <v>3525</v>
      </c>
      <c r="D753" s="548">
        <v>1</v>
      </c>
      <c r="E753" s="526">
        <v>12800000</v>
      </c>
      <c r="F753" s="555">
        <v>12800000</v>
      </c>
    </row>
    <row r="754" spans="1:6" ht="15.75">
      <c r="A754" s="136">
        <v>43</v>
      </c>
      <c r="B754" s="549" t="s">
        <v>3657</v>
      </c>
      <c r="C754" s="549" t="s">
        <v>3658</v>
      </c>
      <c r="D754" s="550">
        <v>50</v>
      </c>
      <c r="E754" s="550">
        <v>30000</v>
      </c>
      <c r="F754" s="556">
        <v>1500000</v>
      </c>
    </row>
    <row r="755" spans="1:6" ht="31.5">
      <c r="A755" s="136">
        <v>44</v>
      </c>
      <c r="B755" s="524" t="s">
        <v>3659</v>
      </c>
      <c r="C755" s="543" t="s">
        <v>3658</v>
      </c>
      <c r="D755" s="551">
        <v>30</v>
      </c>
      <c r="E755" s="551">
        <v>60000</v>
      </c>
      <c r="F755" s="555">
        <v>1800000</v>
      </c>
    </row>
    <row r="756" spans="1:6" ht="31.5">
      <c r="A756" s="136">
        <v>45</v>
      </c>
      <c r="B756" s="523" t="s">
        <v>3660</v>
      </c>
      <c r="C756" s="549" t="s">
        <v>3658</v>
      </c>
      <c r="D756" s="549">
        <v>3</v>
      </c>
      <c r="E756" s="550">
        <v>400000</v>
      </c>
      <c r="F756" s="556">
        <v>1200000</v>
      </c>
    </row>
    <row r="757" spans="1:6" ht="15.75">
      <c r="A757" s="136">
        <v>46</v>
      </c>
      <c r="B757" s="524" t="s">
        <v>3661</v>
      </c>
      <c r="C757" s="543" t="s">
        <v>3658</v>
      </c>
      <c r="D757" s="551">
        <v>1</v>
      </c>
      <c r="E757" s="551">
        <v>250000</v>
      </c>
      <c r="F757" s="555">
        <v>250000</v>
      </c>
    </row>
    <row r="758" spans="1:6" ht="15.75">
      <c r="A758" s="136">
        <v>47</v>
      </c>
      <c r="B758" s="523" t="s">
        <v>3662</v>
      </c>
      <c r="C758" s="549" t="s">
        <v>3658</v>
      </c>
      <c r="D758" s="550">
        <v>2</v>
      </c>
      <c r="E758" s="550">
        <v>350000</v>
      </c>
      <c r="F758" s="556">
        <v>700000</v>
      </c>
    </row>
    <row r="759" spans="1:6" ht="15.75">
      <c r="A759" s="136">
        <v>48</v>
      </c>
      <c r="B759" s="543" t="s">
        <v>3657</v>
      </c>
      <c r="C759" s="543" t="s">
        <v>3658</v>
      </c>
      <c r="D759" s="551">
        <v>30</v>
      </c>
      <c r="E759" s="551">
        <v>30000</v>
      </c>
      <c r="F759" s="555">
        <v>900000</v>
      </c>
    </row>
    <row r="760" spans="1:6" ht="31.5">
      <c r="A760" s="136">
        <v>49</v>
      </c>
      <c r="B760" s="523" t="s">
        <v>3659</v>
      </c>
      <c r="C760" s="549" t="s">
        <v>3658</v>
      </c>
      <c r="D760" s="550">
        <v>15</v>
      </c>
      <c r="E760" s="550">
        <v>40000</v>
      </c>
      <c r="F760" s="556">
        <v>600000</v>
      </c>
    </row>
    <row r="761" spans="1:6" ht="15.75">
      <c r="A761" s="136">
        <v>50</v>
      </c>
      <c r="B761" s="524" t="s">
        <v>3663</v>
      </c>
      <c r="C761" s="543" t="s">
        <v>3658</v>
      </c>
      <c r="D761" s="603">
        <v>1</v>
      </c>
      <c r="E761" s="551">
        <v>1000000</v>
      </c>
      <c r="F761" s="555">
        <v>1000000</v>
      </c>
    </row>
    <row r="762" spans="1:6" ht="31.5">
      <c r="A762" s="136">
        <v>51</v>
      </c>
      <c r="B762" s="523" t="s">
        <v>3664</v>
      </c>
      <c r="C762" s="549" t="s">
        <v>3658</v>
      </c>
      <c r="D762" s="604">
        <v>1</v>
      </c>
      <c r="E762" s="550">
        <v>1000000</v>
      </c>
      <c r="F762" s="556">
        <v>1000000</v>
      </c>
    </row>
    <row r="763" spans="1:6" ht="31.5">
      <c r="A763" s="136">
        <v>52</v>
      </c>
      <c r="B763" s="524" t="s">
        <v>3665</v>
      </c>
      <c r="C763" s="543" t="s">
        <v>3658</v>
      </c>
      <c r="D763" s="551">
        <v>1</v>
      </c>
      <c r="E763" s="551">
        <v>1000000</v>
      </c>
      <c r="F763" s="555">
        <v>1000000</v>
      </c>
    </row>
    <row r="764" spans="1:6" ht="15.75">
      <c r="A764" s="136">
        <v>53</v>
      </c>
      <c r="B764" s="523" t="s">
        <v>3666</v>
      </c>
      <c r="C764" s="549" t="s">
        <v>3658</v>
      </c>
      <c r="D764" s="550">
        <v>1</v>
      </c>
      <c r="E764" s="550">
        <v>350000</v>
      </c>
      <c r="F764" s="556">
        <v>350000</v>
      </c>
    </row>
    <row r="765" spans="1:6" ht="15.75">
      <c r="A765" s="136">
        <v>54</v>
      </c>
      <c r="B765" s="524" t="s">
        <v>3661</v>
      </c>
      <c r="C765" s="543" t="s">
        <v>3658</v>
      </c>
      <c r="D765" s="551">
        <v>2</v>
      </c>
      <c r="E765" s="551">
        <v>250000</v>
      </c>
      <c r="F765" s="555">
        <v>500000</v>
      </c>
    </row>
    <row r="766" spans="1:6" ht="15.75">
      <c r="A766" s="136">
        <v>55</v>
      </c>
      <c r="B766" s="523" t="s">
        <v>3667</v>
      </c>
      <c r="C766" s="549" t="s">
        <v>3658</v>
      </c>
      <c r="D766" s="550">
        <v>4</v>
      </c>
      <c r="E766" s="550">
        <v>390000</v>
      </c>
      <c r="F766" s="556">
        <v>1560000</v>
      </c>
    </row>
    <row r="767" spans="1:6" ht="15.75">
      <c r="A767" s="136">
        <v>56</v>
      </c>
      <c r="B767" s="543" t="s">
        <v>3668</v>
      </c>
      <c r="C767" s="543" t="s">
        <v>286</v>
      </c>
      <c r="D767" s="543">
        <v>1</v>
      </c>
      <c r="E767" s="528">
        <v>200000</v>
      </c>
      <c r="F767" s="555">
        <v>200000</v>
      </c>
    </row>
    <row r="768" spans="1:6" ht="31.5">
      <c r="A768" s="136">
        <v>57</v>
      </c>
      <c r="B768" s="549" t="s">
        <v>3669</v>
      </c>
      <c r="C768" s="549" t="s">
        <v>3670</v>
      </c>
      <c r="D768" s="549">
        <v>120</v>
      </c>
      <c r="E768" s="525">
        <v>30000</v>
      </c>
      <c r="F768" s="556">
        <v>3600000</v>
      </c>
    </row>
    <row r="769" spans="1:6" ht="15.75">
      <c r="A769" s="136">
        <v>58</v>
      </c>
      <c r="B769" s="539" t="s">
        <v>3671</v>
      </c>
      <c r="C769" s="543" t="s">
        <v>286</v>
      </c>
      <c r="D769" s="543">
        <v>5</v>
      </c>
      <c r="E769" s="528">
        <v>70000</v>
      </c>
      <c r="F769" s="555">
        <v>350000</v>
      </c>
    </row>
    <row r="770" spans="1:6" ht="15.75">
      <c r="A770" s="136">
        <v>59</v>
      </c>
      <c r="B770" s="605" t="s">
        <v>3672</v>
      </c>
      <c r="C770" s="549" t="s">
        <v>286</v>
      </c>
      <c r="D770" s="606">
        <v>1</v>
      </c>
      <c r="E770" s="556">
        <v>250000</v>
      </c>
      <c r="F770" s="556">
        <v>250000</v>
      </c>
    </row>
    <row r="771" spans="1:6" ht="15.75">
      <c r="A771" s="136">
        <v>60</v>
      </c>
      <c r="B771" s="607" t="s">
        <v>3672</v>
      </c>
      <c r="C771" s="543" t="s">
        <v>286</v>
      </c>
      <c r="D771" s="608">
        <v>2</v>
      </c>
      <c r="E771" s="528">
        <v>200000</v>
      </c>
      <c r="F771" s="555">
        <v>400000</v>
      </c>
    </row>
    <row r="772" spans="1:6" ht="31.5">
      <c r="A772" s="136">
        <v>61</v>
      </c>
      <c r="B772" s="549" t="s">
        <v>3673</v>
      </c>
      <c r="C772" s="549" t="s">
        <v>3674</v>
      </c>
      <c r="D772" s="549">
        <v>1</v>
      </c>
      <c r="E772" s="549">
        <v>3900000</v>
      </c>
      <c r="F772" s="556">
        <v>3900000</v>
      </c>
    </row>
    <row r="773" spans="1:6" ht="15.75">
      <c r="A773" s="136">
        <v>62</v>
      </c>
      <c r="B773" s="543" t="s">
        <v>3675</v>
      </c>
      <c r="C773" s="543" t="s">
        <v>3525</v>
      </c>
      <c r="D773" s="543">
        <v>1</v>
      </c>
      <c r="E773" s="543">
        <v>650000</v>
      </c>
      <c r="F773" s="555">
        <v>650000</v>
      </c>
    </row>
    <row r="774" spans="1:6" ht="15.75">
      <c r="A774" s="136">
        <v>63</v>
      </c>
      <c r="B774" s="605" t="s">
        <v>3676</v>
      </c>
      <c r="C774" s="549" t="s">
        <v>3525</v>
      </c>
      <c r="D774" s="552">
        <v>2</v>
      </c>
      <c r="E774" s="549">
        <v>1500000</v>
      </c>
      <c r="F774" s="556">
        <v>3000000</v>
      </c>
    </row>
    <row r="775" spans="1:6" ht="15.75">
      <c r="A775" s="136">
        <v>64</v>
      </c>
      <c r="B775" s="607" t="s">
        <v>3677</v>
      </c>
      <c r="C775" s="543" t="s">
        <v>3525</v>
      </c>
      <c r="D775" s="557">
        <v>6</v>
      </c>
      <c r="E775" s="543">
        <v>400000</v>
      </c>
      <c r="F775" s="555">
        <v>2400000</v>
      </c>
    </row>
    <row r="776" spans="1:6" ht="15.75">
      <c r="A776" s="136">
        <v>65</v>
      </c>
      <c r="B776" s="605" t="s">
        <v>3678</v>
      </c>
      <c r="C776" s="549" t="s">
        <v>3525</v>
      </c>
      <c r="D776" s="606">
        <v>2</v>
      </c>
      <c r="E776" s="549">
        <v>520000</v>
      </c>
      <c r="F776" s="556">
        <v>1040000</v>
      </c>
    </row>
    <row r="777" spans="1:6" ht="15.75">
      <c r="A777" s="136">
        <v>66</v>
      </c>
      <c r="B777" s="543" t="s">
        <v>3679</v>
      </c>
      <c r="C777" s="543" t="s">
        <v>3670</v>
      </c>
      <c r="D777" s="543">
        <v>25</v>
      </c>
      <c r="E777" s="528">
        <v>40000</v>
      </c>
      <c r="F777" s="555">
        <v>1000000</v>
      </c>
    </row>
    <row r="778" spans="1:6" ht="15.75">
      <c r="A778" s="136">
        <v>67</v>
      </c>
      <c r="B778" s="549" t="s">
        <v>3680</v>
      </c>
      <c r="C778" s="549" t="s">
        <v>3525</v>
      </c>
      <c r="D778" s="549">
        <v>1</v>
      </c>
      <c r="E778" s="549">
        <v>3700000</v>
      </c>
      <c r="F778" s="556">
        <v>3700000</v>
      </c>
    </row>
    <row r="779" spans="1:6" ht="15.75">
      <c r="A779" s="136">
        <v>68</v>
      </c>
      <c r="B779" s="607" t="s">
        <v>3681</v>
      </c>
      <c r="C779" s="543" t="s">
        <v>3525</v>
      </c>
      <c r="D779" s="557">
        <v>3</v>
      </c>
      <c r="E779" s="543">
        <v>450000</v>
      </c>
      <c r="F779" s="555">
        <v>1350000</v>
      </c>
    </row>
    <row r="780" spans="1:6" ht="15.75">
      <c r="A780" s="136">
        <v>69</v>
      </c>
      <c r="B780" s="605" t="s">
        <v>3682</v>
      </c>
      <c r="C780" s="549" t="s">
        <v>3525</v>
      </c>
      <c r="D780" s="606">
        <v>7</v>
      </c>
      <c r="E780" s="549">
        <v>350000</v>
      </c>
      <c r="F780" s="556">
        <v>2450000</v>
      </c>
    </row>
    <row r="781" spans="1:6" ht="31.5">
      <c r="A781" s="136">
        <v>70</v>
      </c>
      <c r="B781" s="543" t="s">
        <v>3669</v>
      </c>
      <c r="C781" s="543" t="s">
        <v>3670</v>
      </c>
      <c r="D781" s="543">
        <v>25</v>
      </c>
      <c r="E781" s="609">
        <v>40000</v>
      </c>
      <c r="F781" s="555">
        <v>1000000</v>
      </c>
    </row>
    <row r="782" spans="1:6" ht="15.75">
      <c r="A782" s="136">
        <v>71</v>
      </c>
      <c r="B782" s="549" t="s">
        <v>3683</v>
      </c>
      <c r="C782" s="549" t="s">
        <v>3670</v>
      </c>
      <c r="D782" s="549">
        <v>1</v>
      </c>
      <c r="E782" s="553">
        <v>350000</v>
      </c>
      <c r="F782" s="556">
        <v>350000</v>
      </c>
    </row>
    <row r="783" spans="1:6" ht="31.5">
      <c r="A783" s="136">
        <v>72</v>
      </c>
      <c r="B783" s="524" t="s">
        <v>3684</v>
      </c>
      <c r="C783" s="524" t="s">
        <v>286</v>
      </c>
      <c r="D783" s="524">
        <v>24</v>
      </c>
      <c r="E783" s="555">
        <v>180000</v>
      </c>
      <c r="F783" s="555">
        <v>4320000</v>
      </c>
    </row>
    <row r="784" spans="1:6" ht="15.75">
      <c r="A784" s="136">
        <v>73</v>
      </c>
      <c r="B784" s="523" t="s">
        <v>3685</v>
      </c>
      <c r="C784" s="523" t="s">
        <v>286</v>
      </c>
      <c r="D784" s="523">
        <v>12</v>
      </c>
      <c r="E784" s="556">
        <v>130000</v>
      </c>
      <c r="F784" s="556">
        <v>1560000</v>
      </c>
    </row>
    <row r="785" spans="1:6" ht="15.75">
      <c r="A785" s="136">
        <v>74</v>
      </c>
      <c r="B785" s="524" t="s">
        <v>3686</v>
      </c>
      <c r="C785" s="524" t="s">
        <v>286</v>
      </c>
      <c r="D785" s="524">
        <v>6</v>
      </c>
      <c r="E785" s="533">
        <v>180000</v>
      </c>
      <c r="F785" s="555">
        <v>1080000</v>
      </c>
    </row>
    <row r="786" spans="1:6" ht="15.75">
      <c r="A786" s="136">
        <v>75</v>
      </c>
      <c r="B786" s="523" t="s">
        <v>3687</v>
      </c>
      <c r="C786" s="523" t="s">
        <v>286</v>
      </c>
      <c r="D786" s="523">
        <v>2</v>
      </c>
      <c r="E786" s="534">
        <v>800000</v>
      </c>
      <c r="F786" s="556">
        <v>1600000</v>
      </c>
    </row>
    <row r="787" spans="1:6" ht="15.75">
      <c r="A787" s="136">
        <v>76</v>
      </c>
      <c r="B787" s="524" t="s">
        <v>3688</v>
      </c>
      <c r="C787" s="524" t="s">
        <v>286</v>
      </c>
      <c r="D787" s="524">
        <v>6</v>
      </c>
      <c r="E787" s="533">
        <v>180000</v>
      </c>
      <c r="F787" s="555">
        <v>1080000</v>
      </c>
    </row>
    <row r="788" spans="1:6" ht="15.75">
      <c r="A788" s="136">
        <v>77</v>
      </c>
      <c r="B788" s="523" t="s">
        <v>3689</v>
      </c>
      <c r="C788" s="523" t="s">
        <v>286</v>
      </c>
      <c r="D788" s="523">
        <v>4</v>
      </c>
      <c r="E788" s="534">
        <v>180000</v>
      </c>
      <c r="F788" s="556">
        <v>720000</v>
      </c>
    </row>
    <row r="789" spans="1:6" ht="15.75">
      <c r="A789" s="136">
        <v>78</v>
      </c>
      <c r="B789" s="524" t="s">
        <v>3690</v>
      </c>
      <c r="C789" s="524" t="s">
        <v>286</v>
      </c>
      <c r="D789" s="524">
        <v>4</v>
      </c>
      <c r="E789" s="533">
        <v>180000</v>
      </c>
      <c r="F789" s="555">
        <v>720000</v>
      </c>
    </row>
    <row r="790" spans="1:6" ht="31.5">
      <c r="A790" s="136">
        <v>79</v>
      </c>
      <c r="B790" s="523" t="s">
        <v>3691</v>
      </c>
      <c r="C790" s="523" t="s">
        <v>693</v>
      </c>
      <c r="D790" s="523">
        <v>10</v>
      </c>
      <c r="E790" s="534">
        <v>290000</v>
      </c>
      <c r="F790" s="556">
        <v>2900000</v>
      </c>
    </row>
    <row r="791" spans="1:6" ht="15.75">
      <c r="A791" s="136">
        <v>80</v>
      </c>
      <c r="B791" s="524" t="s">
        <v>3692</v>
      </c>
      <c r="C791" s="524" t="s">
        <v>286</v>
      </c>
      <c r="D791" s="524">
        <v>300</v>
      </c>
      <c r="E791" s="533">
        <v>6000</v>
      </c>
      <c r="F791" s="555">
        <v>1800000</v>
      </c>
    </row>
    <row r="792" spans="1:6" ht="15.75">
      <c r="A792" s="136">
        <v>81</v>
      </c>
      <c r="B792" s="523" t="s">
        <v>3693</v>
      </c>
      <c r="C792" s="549" t="s">
        <v>286</v>
      </c>
      <c r="D792" s="562">
        <v>15</v>
      </c>
      <c r="E792" s="562">
        <v>60000</v>
      </c>
      <c r="F792" s="556">
        <v>900000</v>
      </c>
    </row>
    <row r="793" spans="1:6" ht="15.75">
      <c r="A793" s="136">
        <v>82</v>
      </c>
      <c r="B793" s="524" t="s">
        <v>3694</v>
      </c>
      <c r="C793" s="543" t="s">
        <v>286</v>
      </c>
      <c r="D793" s="563">
        <v>1</v>
      </c>
      <c r="E793" s="563">
        <v>3000000</v>
      </c>
      <c r="F793" s="555">
        <v>3000000</v>
      </c>
    </row>
    <row r="794" spans="1:6" ht="15.75">
      <c r="A794" s="136">
        <v>83</v>
      </c>
      <c r="B794" s="549" t="s">
        <v>3695</v>
      </c>
      <c r="C794" s="549" t="s">
        <v>286</v>
      </c>
      <c r="D794" s="549">
        <v>6</v>
      </c>
      <c r="E794" s="549">
        <v>200000</v>
      </c>
      <c r="F794" s="556">
        <v>1200000</v>
      </c>
    </row>
    <row r="795" spans="1:6" ht="15.75">
      <c r="A795" s="136">
        <v>84</v>
      </c>
      <c r="B795" s="543" t="s">
        <v>3696</v>
      </c>
      <c r="C795" s="543" t="s">
        <v>286</v>
      </c>
      <c r="D795" s="543">
        <v>3</v>
      </c>
      <c r="E795" s="543">
        <v>400000</v>
      </c>
      <c r="F795" s="555">
        <v>1200000</v>
      </c>
    </row>
    <row r="796" spans="1:6" ht="15.75">
      <c r="A796" s="136">
        <v>85</v>
      </c>
      <c r="B796" s="549" t="s">
        <v>3697</v>
      </c>
      <c r="C796" s="549" t="s">
        <v>278</v>
      </c>
      <c r="D796" s="549">
        <v>1</v>
      </c>
      <c r="E796" s="549">
        <v>500000</v>
      </c>
      <c r="F796" s="556">
        <v>500000</v>
      </c>
    </row>
    <row r="797" spans="1:6" ht="31.5">
      <c r="A797" s="136">
        <v>86</v>
      </c>
      <c r="B797" s="543" t="s">
        <v>3669</v>
      </c>
      <c r="C797" s="543" t="s">
        <v>3670</v>
      </c>
      <c r="D797" s="543">
        <v>50</v>
      </c>
      <c r="E797" s="543">
        <v>30000</v>
      </c>
      <c r="F797" s="555">
        <v>1500000</v>
      </c>
    </row>
    <row r="798" spans="1:6" ht="15.75">
      <c r="A798" s="136">
        <v>87</v>
      </c>
      <c r="B798" s="537" t="s">
        <v>3671</v>
      </c>
      <c r="C798" s="549" t="s">
        <v>286</v>
      </c>
      <c r="D798" s="549">
        <v>4</v>
      </c>
      <c r="E798" s="549">
        <v>70000</v>
      </c>
      <c r="F798" s="556">
        <v>280000</v>
      </c>
    </row>
    <row r="799" spans="1:6" ht="15.75">
      <c r="A799" s="136">
        <v>88</v>
      </c>
      <c r="B799" s="607" t="s">
        <v>3698</v>
      </c>
      <c r="C799" s="543" t="s">
        <v>286</v>
      </c>
      <c r="D799" s="557">
        <v>3</v>
      </c>
      <c r="E799" s="543">
        <v>300000</v>
      </c>
      <c r="F799" s="555">
        <v>900000</v>
      </c>
    </row>
    <row r="800" spans="1:6" ht="15.75">
      <c r="A800" s="136">
        <v>89</v>
      </c>
      <c r="B800" s="605" t="s">
        <v>3672</v>
      </c>
      <c r="C800" s="549" t="s">
        <v>286</v>
      </c>
      <c r="D800" s="606">
        <v>5</v>
      </c>
      <c r="E800" s="549">
        <v>150000</v>
      </c>
      <c r="F800" s="556">
        <v>750000</v>
      </c>
    </row>
    <row r="801" spans="1:6" ht="15.75">
      <c r="A801" s="136">
        <v>90</v>
      </c>
      <c r="B801" s="607" t="s">
        <v>3699</v>
      </c>
      <c r="C801" s="543" t="s">
        <v>286</v>
      </c>
      <c r="D801" s="608">
        <v>6</v>
      </c>
      <c r="E801" s="543">
        <v>55000</v>
      </c>
      <c r="F801" s="555">
        <v>330000</v>
      </c>
    </row>
    <row r="802" spans="1:6" ht="15.75">
      <c r="A802" s="136">
        <v>91</v>
      </c>
      <c r="B802" s="605" t="s">
        <v>3672</v>
      </c>
      <c r="C802" s="549" t="s">
        <v>286</v>
      </c>
      <c r="D802" s="606">
        <v>3</v>
      </c>
      <c r="E802" s="523">
        <v>150000</v>
      </c>
      <c r="F802" s="556">
        <v>450000</v>
      </c>
    </row>
    <row r="803" spans="1:6" ht="15.75">
      <c r="A803" s="136">
        <v>92</v>
      </c>
      <c r="B803" s="543" t="s">
        <v>3695</v>
      </c>
      <c r="C803" s="543" t="s">
        <v>286</v>
      </c>
      <c r="D803" s="543">
        <v>4</v>
      </c>
      <c r="E803" s="543">
        <v>200000</v>
      </c>
      <c r="F803" s="555">
        <v>800000</v>
      </c>
    </row>
    <row r="804" spans="1:6" ht="15.75">
      <c r="A804" s="136">
        <v>93</v>
      </c>
      <c r="B804" s="549" t="s">
        <v>3697</v>
      </c>
      <c r="C804" s="549" t="s">
        <v>278</v>
      </c>
      <c r="D804" s="549">
        <v>2</v>
      </c>
      <c r="E804" s="549">
        <v>500000</v>
      </c>
      <c r="F804" s="556">
        <v>1000000</v>
      </c>
    </row>
    <row r="805" spans="1:6" ht="31.5">
      <c r="A805" s="136">
        <v>94</v>
      </c>
      <c r="B805" s="543" t="s">
        <v>3669</v>
      </c>
      <c r="C805" s="543" t="s">
        <v>3670</v>
      </c>
      <c r="D805" s="543">
        <v>20</v>
      </c>
      <c r="E805" s="543">
        <v>35000</v>
      </c>
      <c r="F805" s="555">
        <v>700000</v>
      </c>
    </row>
    <row r="806" spans="1:6" ht="15.75">
      <c r="A806" s="136">
        <v>95</v>
      </c>
      <c r="B806" s="523" t="s">
        <v>3700</v>
      </c>
      <c r="C806" s="549" t="s">
        <v>286</v>
      </c>
      <c r="D806" s="523">
        <v>2</v>
      </c>
      <c r="E806" s="556">
        <v>138000</v>
      </c>
      <c r="F806" s="556">
        <v>276000</v>
      </c>
    </row>
    <row r="807" spans="1:6" ht="15.75">
      <c r="A807" s="136">
        <v>96</v>
      </c>
      <c r="B807" s="524" t="s">
        <v>3701</v>
      </c>
      <c r="C807" s="543" t="s">
        <v>286</v>
      </c>
      <c r="D807" s="524">
        <v>1</v>
      </c>
      <c r="E807" s="555">
        <v>138000</v>
      </c>
      <c r="F807" s="555">
        <v>138000</v>
      </c>
    </row>
    <row r="808" spans="1:6" ht="15.75">
      <c r="A808" s="136">
        <v>97</v>
      </c>
      <c r="B808" s="523" t="s">
        <v>3702</v>
      </c>
      <c r="C808" s="549" t="s">
        <v>286</v>
      </c>
      <c r="D808" s="523">
        <v>10</v>
      </c>
      <c r="E808" s="556">
        <v>50000</v>
      </c>
      <c r="F808" s="556">
        <v>500000</v>
      </c>
    </row>
    <row r="809" spans="1:6" ht="15.75">
      <c r="A809" s="136">
        <v>98</v>
      </c>
      <c r="B809" s="524" t="s">
        <v>3703</v>
      </c>
      <c r="C809" s="543" t="s">
        <v>286</v>
      </c>
      <c r="D809" s="524">
        <v>10</v>
      </c>
      <c r="E809" s="555">
        <v>50000</v>
      </c>
      <c r="F809" s="555">
        <v>500000</v>
      </c>
    </row>
    <row r="810" spans="1:6" ht="15.75">
      <c r="A810" s="136">
        <v>99</v>
      </c>
      <c r="B810" s="523" t="s">
        <v>3704</v>
      </c>
      <c r="C810" s="549" t="s">
        <v>286</v>
      </c>
      <c r="D810" s="523">
        <v>5</v>
      </c>
      <c r="E810" s="556">
        <v>50000</v>
      </c>
      <c r="F810" s="556">
        <v>250000</v>
      </c>
    </row>
    <row r="811" spans="1:6" ht="15.75">
      <c r="A811" s="136">
        <v>100</v>
      </c>
      <c r="B811" s="524" t="s">
        <v>3705</v>
      </c>
      <c r="C811" s="543" t="s">
        <v>286</v>
      </c>
      <c r="D811" s="524">
        <v>5</v>
      </c>
      <c r="E811" s="555">
        <v>50000</v>
      </c>
      <c r="F811" s="555">
        <v>250000</v>
      </c>
    </row>
    <row r="812" spans="1:6" ht="15.75">
      <c r="A812" s="136">
        <v>101</v>
      </c>
      <c r="B812" s="523" t="s">
        <v>3706</v>
      </c>
      <c r="C812" s="549" t="s">
        <v>286</v>
      </c>
      <c r="D812" s="523">
        <v>5</v>
      </c>
      <c r="E812" s="556">
        <v>50000</v>
      </c>
      <c r="F812" s="556">
        <v>250000</v>
      </c>
    </row>
    <row r="813" spans="1:6" ht="15.75">
      <c r="A813" s="136">
        <v>102</v>
      </c>
      <c r="B813" s="524" t="s">
        <v>3707</v>
      </c>
      <c r="C813" s="543" t="s">
        <v>286</v>
      </c>
      <c r="D813" s="524">
        <v>5</v>
      </c>
      <c r="E813" s="555">
        <v>50000</v>
      </c>
      <c r="F813" s="555">
        <v>250000</v>
      </c>
    </row>
    <row r="814" spans="1:6" ht="15.75">
      <c r="A814" s="136">
        <v>103</v>
      </c>
      <c r="B814" s="523" t="s">
        <v>3708</v>
      </c>
      <c r="C814" s="549" t="s">
        <v>286</v>
      </c>
      <c r="D814" s="523">
        <v>5</v>
      </c>
      <c r="E814" s="556">
        <v>50000</v>
      </c>
      <c r="F814" s="556">
        <v>250000</v>
      </c>
    </row>
    <row r="815" spans="1:6" ht="15.75">
      <c r="A815" s="136">
        <v>104</v>
      </c>
      <c r="B815" s="594" t="s">
        <v>3709</v>
      </c>
      <c r="C815" s="583" t="s">
        <v>286</v>
      </c>
      <c r="D815" s="524">
        <v>20</v>
      </c>
      <c r="E815" s="597">
        <v>50000</v>
      </c>
      <c r="F815" s="555">
        <v>1000000</v>
      </c>
    </row>
    <row r="816" spans="1:6" ht="15.75">
      <c r="A816" s="136">
        <v>105</v>
      </c>
      <c r="B816" s="590" t="s">
        <v>3710</v>
      </c>
      <c r="C816" s="570" t="s">
        <v>286</v>
      </c>
      <c r="D816" s="523">
        <v>20</v>
      </c>
      <c r="E816" s="610">
        <v>50000</v>
      </c>
      <c r="F816" s="556">
        <v>1000000</v>
      </c>
    </row>
    <row r="817" spans="1:6" ht="31.5">
      <c r="A817" s="136">
        <v>106</v>
      </c>
      <c r="B817" s="543" t="s">
        <v>3711</v>
      </c>
      <c r="C817" s="583" t="s">
        <v>314</v>
      </c>
      <c r="D817" s="524">
        <v>2</v>
      </c>
      <c r="E817" s="597">
        <v>700000</v>
      </c>
      <c r="F817" s="555">
        <v>1400000</v>
      </c>
    </row>
    <row r="818" spans="1:6" ht="15.75">
      <c r="A818" s="136">
        <v>107</v>
      </c>
      <c r="B818" s="573" t="s">
        <v>3712</v>
      </c>
      <c r="C818" s="545" t="s">
        <v>286</v>
      </c>
      <c r="D818" s="549">
        <v>30</v>
      </c>
      <c r="E818" s="575">
        <v>20000</v>
      </c>
      <c r="F818" s="556">
        <v>600000</v>
      </c>
    </row>
    <row r="819" spans="1:6" ht="15.75">
      <c r="A819" s="136">
        <v>108</v>
      </c>
      <c r="B819" s="592" t="s">
        <v>3712</v>
      </c>
      <c r="C819" s="547" t="s">
        <v>286</v>
      </c>
      <c r="D819" s="543">
        <v>30</v>
      </c>
      <c r="E819" s="598">
        <v>20000</v>
      </c>
      <c r="F819" s="555">
        <v>600000</v>
      </c>
    </row>
    <row r="820" spans="1:6" ht="47.25">
      <c r="A820" s="136">
        <v>109</v>
      </c>
      <c r="B820" s="549" t="s">
        <v>3713</v>
      </c>
      <c r="C820" s="545" t="s">
        <v>286</v>
      </c>
      <c r="D820" s="549">
        <v>3</v>
      </c>
      <c r="E820" s="525">
        <v>650000</v>
      </c>
      <c r="F820" s="525">
        <v>1950000</v>
      </c>
    </row>
    <row r="821" spans="1:6" ht="47.25">
      <c r="A821" s="136">
        <v>110</v>
      </c>
      <c r="B821" s="543" t="s">
        <v>3714</v>
      </c>
      <c r="C821" s="547" t="s">
        <v>286</v>
      </c>
      <c r="D821" s="543">
        <v>2</v>
      </c>
      <c r="E821" s="528">
        <v>450000</v>
      </c>
      <c r="F821" s="528">
        <v>900000</v>
      </c>
    </row>
    <row r="822" spans="1:6" ht="15.75">
      <c r="A822" s="136">
        <v>111</v>
      </c>
      <c r="B822" s="573" t="s">
        <v>3715</v>
      </c>
      <c r="C822" s="545" t="s">
        <v>286</v>
      </c>
      <c r="D822" s="579">
        <v>120</v>
      </c>
      <c r="E822" s="531">
        <v>20000</v>
      </c>
      <c r="F822" s="525">
        <v>2400000</v>
      </c>
    </row>
    <row r="823" spans="1:6" ht="31.5">
      <c r="A823" s="136">
        <v>112</v>
      </c>
      <c r="B823" s="592" t="s">
        <v>3716</v>
      </c>
      <c r="C823" s="547" t="s">
        <v>286</v>
      </c>
      <c r="D823" s="543">
        <v>30</v>
      </c>
      <c r="E823" s="600">
        <v>25000</v>
      </c>
      <c r="F823" s="528">
        <v>750000</v>
      </c>
    </row>
    <row r="824" spans="1:6" ht="47.25">
      <c r="A824" s="136">
        <v>113</v>
      </c>
      <c r="B824" s="549" t="s">
        <v>3717</v>
      </c>
      <c r="C824" s="545" t="s">
        <v>286</v>
      </c>
      <c r="D824" s="549">
        <v>20</v>
      </c>
      <c r="E824" s="601">
        <v>25000</v>
      </c>
      <c r="F824" s="525">
        <v>500000</v>
      </c>
    </row>
    <row r="825" spans="1:6" ht="15.75">
      <c r="A825" s="136">
        <v>114</v>
      </c>
      <c r="B825" s="592" t="s">
        <v>3715</v>
      </c>
      <c r="C825" s="547" t="s">
        <v>286</v>
      </c>
      <c r="D825" s="578">
        <v>20</v>
      </c>
      <c r="E825" s="600">
        <v>25000</v>
      </c>
      <c r="F825" s="528">
        <v>500000</v>
      </c>
    </row>
    <row r="826" spans="1:6" ht="58.5" customHeight="1">
      <c r="A826" s="136"/>
      <c r="B826" s="1254" t="s">
        <v>3718</v>
      </c>
      <c r="C826" s="1255"/>
      <c r="D826" s="1255"/>
      <c r="E826" s="1255"/>
      <c r="F826" s="1255"/>
    </row>
    <row r="827" spans="1:6" ht="15.75">
      <c r="A827" s="136">
        <v>1</v>
      </c>
      <c r="B827" s="523" t="s">
        <v>3719</v>
      </c>
      <c r="C827" s="537" t="s">
        <v>385</v>
      </c>
      <c r="D827" s="537">
        <v>150</v>
      </c>
      <c r="E827" s="580">
        <v>10000</v>
      </c>
      <c r="F827" s="556">
        <v>1500000</v>
      </c>
    </row>
    <row r="828" spans="1:6" ht="31.5">
      <c r="A828" s="136">
        <v>2</v>
      </c>
      <c r="B828" s="539" t="s">
        <v>3720</v>
      </c>
      <c r="C828" s="524" t="s">
        <v>385</v>
      </c>
      <c r="D828" s="539">
        <v>120</v>
      </c>
      <c r="E828" s="542">
        <v>11000</v>
      </c>
      <c r="F828" s="555">
        <v>1320000</v>
      </c>
    </row>
    <row r="829" spans="1:6" ht="31.5">
      <c r="A829" s="136">
        <v>3</v>
      </c>
      <c r="B829" s="525" t="s">
        <v>3721</v>
      </c>
      <c r="C829" s="525" t="s">
        <v>385</v>
      </c>
      <c r="D829" s="588">
        <v>142</v>
      </c>
      <c r="E829" s="602">
        <v>15000</v>
      </c>
      <c r="F829" s="556">
        <v>2130000</v>
      </c>
    </row>
    <row r="830" spans="1:6" ht="31.5">
      <c r="A830" s="136">
        <v>4</v>
      </c>
      <c r="B830" s="539" t="s">
        <v>3720</v>
      </c>
      <c r="C830" s="524" t="s">
        <v>385</v>
      </c>
      <c r="D830" s="539">
        <v>120</v>
      </c>
      <c r="E830" s="542">
        <v>10000</v>
      </c>
      <c r="F830" s="555">
        <v>1200000</v>
      </c>
    </row>
    <row r="831" spans="1:6" ht="31.5">
      <c r="A831" s="136">
        <v>5</v>
      </c>
      <c r="B831" s="537" t="s">
        <v>3720</v>
      </c>
      <c r="C831" s="523" t="s">
        <v>385</v>
      </c>
      <c r="D831" s="537">
        <v>120</v>
      </c>
      <c r="E831" s="541">
        <v>10000</v>
      </c>
      <c r="F831" s="556">
        <v>1200000</v>
      </c>
    </row>
    <row r="832" spans="1:6" ht="15.75">
      <c r="A832" s="136">
        <v>6</v>
      </c>
      <c r="B832" s="543" t="s">
        <v>3722</v>
      </c>
      <c r="C832" s="543" t="s">
        <v>3723</v>
      </c>
      <c r="D832" s="543">
        <v>4</v>
      </c>
      <c r="E832" s="544">
        <v>720000</v>
      </c>
      <c r="F832" s="555">
        <v>2880000</v>
      </c>
    </row>
    <row r="833" spans="1:6" ht="15.75">
      <c r="A833" s="136">
        <v>7</v>
      </c>
      <c r="B833" s="537" t="s">
        <v>3724</v>
      </c>
      <c r="C833" s="545" t="s">
        <v>385</v>
      </c>
      <c r="D833" s="537">
        <v>192</v>
      </c>
      <c r="E833" s="611">
        <v>11000</v>
      </c>
      <c r="F833" s="556">
        <v>2112000</v>
      </c>
    </row>
    <row r="834" spans="1:6" ht="15.75">
      <c r="A834" s="136">
        <v>8</v>
      </c>
      <c r="B834" s="543" t="s">
        <v>3725</v>
      </c>
      <c r="C834" s="543" t="s">
        <v>286</v>
      </c>
      <c r="D834" s="543">
        <v>7</v>
      </c>
      <c r="E834" s="554">
        <v>700000</v>
      </c>
      <c r="F834" s="555">
        <v>4900000</v>
      </c>
    </row>
    <row r="835" spans="1:6" ht="15.75">
      <c r="A835" s="136">
        <v>9</v>
      </c>
      <c r="B835" s="549" t="s">
        <v>3726</v>
      </c>
      <c r="C835" s="549" t="s">
        <v>286</v>
      </c>
      <c r="D835" s="549">
        <v>2</v>
      </c>
      <c r="E835" s="553">
        <v>1200000</v>
      </c>
      <c r="F835" s="556">
        <v>2400000</v>
      </c>
    </row>
    <row r="836" spans="1:6" ht="15.75">
      <c r="A836" s="136">
        <v>10</v>
      </c>
      <c r="B836" s="543" t="s">
        <v>3727</v>
      </c>
      <c r="C836" s="543" t="s">
        <v>286</v>
      </c>
      <c r="D836" s="543">
        <v>7</v>
      </c>
      <c r="E836" s="554">
        <v>1100000</v>
      </c>
      <c r="F836" s="555">
        <v>7700000</v>
      </c>
    </row>
    <row r="837" spans="1:6" ht="15.75">
      <c r="A837" s="136">
        <v>11</v>
      </c>
      <c r="B837" s="549" t="s">
        <v>3728</v>
      </c>
      <c r="C837" s="549" t="s">
        <v>385</v>
      </c>
      <c r="D837" s="549">
        <v>1000</v>
      </c>
      <c r="E837" s="525">
        <v>8300</v>
      </c>
      <c r="F837" s="556">
        <v>8300000</v>
      </c>
    </row>
    <row r="838" spans="1:6" ht="15.75">
      <c r="A838" s="136">
        <v>12</v>
      </c>
      <c r="B838" s="543" t="s">
        <v>3729</v>
      </c>
      <c r="C838" s="543" t="s">
        <v>390</v>
      </c>
      <c r="D838" s="543">
        <v>900</v>
      </c>
      <c r="E838" s="528">
        <v>5500</v>
      </c>
      <c r="F838" s="555">
        <v>4950000</v>
      </c>
    </row>
    <row r="839" spans="1:6" ht="15.75">
      <c r="A839" s="136">
        <v>13</v>
      </c>
      <c r="B839" s="523" t="s">
        <v>2171</v>
      </c>
      <c r="C839" s="523" t="s">
        <v>385</v>
      </c>
      <c r="D839" s="523">
        <v>90</v>
      </c>
      <c r="E839" s="556">
        <v>8000</v>
      </c>
      <c r="F839" s="556">
        <v>720000</v>
      </c>
    </row>
    <row r="840" spans="1:6" ht="15.75">
      <c r="A840" s="136">
        <v>14</v>
      </c>
      <c r="B840" s="524" t="s">
        <v>2171</v>
      </c>
      <c r="C840" s="524" t="s">
        <v>385</v>
      </c>
      <c r="D840" s="524">
        <v>300</v>
      </c>
      <c r="E840" s="533">
        <v>8000</v>
      </c>
      <c r="F840" s="555">
        <v>2400000</v>
      </c>
    </row>
    <row r="841" spans="1:6" ht="15.75">
      <c r="A841" s="136">
        <v>15</v>
      </c>
      <c r="B841" s="549" t="s">
        <v>3728</v>
      </c>
      <c r="C841" s="545" t="s">
        <v>385</v>
      </c>
      <c r="D841" s="549">
        <v>400</v>
      </c>
      <c r="E841" s="525">
        <v>16000</v>
      </c>
      <c r="F841" s="556">
        <v>6400000</v>
      </c>
    </row>
    <row r="842" spans="1:6" ht="15.75">
      <c r="A842" s="136">
        <v>16</v>
      </c>
      <c r="B842" s="543" t="s">
        <v>3728</v>
      </c>
      <c r="C842" s="547" t="s">
        <v>385</v>
      </c>
      <c r="D842" s="543">
        <v>400</v>
      </c>
      <c r="E842" s="612">
        <v>16000</v>
      </c>
      <c r="F842" s="555">
        <v>6400000</v>
      </c>
    </row>
    <row r="843" spans="1:6" ht="15.75">
      <c r="A843" s="136">
        <v>17</v>
      </c>
      <c r="B843" s="549" t="s">
        <v>3730</v>
      </c>
      <c r="C843" s="545" t="s">
        <v>385</v>
      </c>
      <c r="D843" s="549">
        <v>400</v>
      </c>
      <c r="E843" s="586">
        <v>10000</v>
      </c>
      <c r="F843" s="556">
        <v>4000000</v>
      </c>
    </row>
    <row r="844" spans="1:6" ht="15.75">
      <c r="A844" s="136">
        <v>18</v>
      </c>
      <c r="B844" s="543" t="s">
        <v>3728</v>
      </c>
      <c r="C844" s="547" t="s">
        <v>385</v>
      </c>
      <c r="D844" s="543">
        <v>100</v>
      </c>
      <c r="E844" s="585">
        <v>16000</v>
      </c>
      <c r="F844" s="555">
        <v>1600000</v>
      </c>
    </row>
    <row r="845" spans="1:6" ht="31.5">
      <c r="A845" s="136">
        <v>19</v>
      </c>
      <c r="B845" s="549" t="s">
        <v>3731</v>
      </c>
      <c r="C845" s="613" t="s">
        <v>385</v>
      </c>
      <c r="D845" s="549">
        <v>498</v>
      </c>
      <c r="E845" s="525">
        <v>11000</v>
      </c>
      <c r="F845" s="525">
        <v>5478000</v>
      </c>
    </row>
    <row r="846" spans="1:6" ht="31.5">
      <c r="A846" s="136">
        <v>20</v>
      </c>
      <c r="B846" s="543" t="s">
        <v>3731</v>
      </c>
      <c r="C846" s="547" t="s">
        <v>3732</v>
      </c>
      <c r="D846" s="543">
        <v>360</v>
      </c>
      <c r="E846" s="551">
        <v>11000</v>
      </c>
      <c r="F846" s="528">
        <v>3960000</v>
      </c>
    </row>
    <row r="847" spans="1:6" ht="15.75">
      <c r="A847" s="136">
        <v>21</v>
      </c>
      <c r="B847" s="579" t="s">
        <v>3733</v>
      </c>
      <c r="C847" s="579" t="s">
        <v>286</v>
      </c>
      <c r="D847" s="579">
        <v>5</v>
      </c>
      <c r="E847" s="550">
        <v>750000</v>
      </c>
      <c r="F847" s="531">
        <v>3750000</v>
      </c>
    </row>
    <row r="848" spans="1:6" ht="15.75">
      <c r="A848" s="136">
        <v>22</v>
      </c>
      <c r="B848" s="578" t="s">
        <v>3734</v>
      </c>
      <c r="C848" s="578" t="s">
        <v>385</v>
      </c>
      <c r="D848" s="578">
        <v>500</v>
      </c>
      <c r="E848" s="551">
        <v>7500</v>
      </c>
      <c r="F848" s="532">
        <v>3750000</v>
      </c>
    </row>
    <row r="849" spans="1:6">
      <c r="A849" s="136"/>
      <c r="B849" s="1255" t="s">
        <v>3735</v>
      </c>
      <c r="C849" s="1255"/>
      <c r="D849" s="1255"/>
      <c r="E849" s="1255"/>
      <c r="F849" s="1255"/>
    </row>
    <row r="850" spans="1:6" ht="31.5">
      <c r="A850" s="136">
        <v>1</v>
      </c>
      <c r="B850" s="523" t="s">
        <v>3736</v>
      </c>
      <c r="C850" s="537" t="s">
        <v>286</v>
      </c>
      <c r="D850" s="537">
        <v>2</v>
      </c>
      <c r="E850" s="580">
        <v>700000</v>
      </c>
      <c r="F850" s="556">
        <v>1400000</v>
      </c>
    </row>
    <row r="851" spans="1:6" ht="15.75">
      <c r="A851" s="136">
        <v>2</v>
      </c>
      <c r="B851" s="524" t="s">
        <v>3737</v>
      </c>
      <c r="C851" s="524" t="s">
        <v>286</v>
      </c>
      <c r="D851" s="524">
        <v>1</v>
      </c>
      <c r="E851" s="555">
        <v>2600000</v>
      </c>
      <c r="F851" s="555">
        <v>2600000</v>
      </c>
    </row>
    <row r="852" spans="1:6">
      <c r="A852" s="136"/>
      <c r="B852" s="1255" t="s">
        <v>3738</v>
      </c>
      <c r="C852" s="1255"/>
      <c r="D852" s="1255"/>
      <c r="E852" s="1255"/>
      <c r="F852" s="1255"/>
    </row>
    <row r="853" spans="1:6" ht="15.75">
      <c r="A853" s="136">
        <v>1</v>
      </c>
      <c r="B853" s="523" t="s">
        <v>3739</v>
      </c>
      <c r="C853" s="545" t="s">
        <v>3525</v>
      </c>
      <c r="D853" s="546">
        <v>252</v>
      </c>
      <c r="E853" s="527">
        <v>120000</v>
      </c>
      <c r="F853" s="556">
        <v>30240000</v>
      </c>
    </row>
    <row r="854" spans="1:6" ht="31.5">
      <c r="A854" s="136">
        <v>2</v>
      </c>
      <c r="B854" s="528" t="s">
        <v>3740</v>
      </c>
      <c r="C854" s="528" t="s">
        <v>286</v>
      </c>
      <c r="D854" s="614">
        <v>205</v>
      </c>
      <c r="E854" s="524">
        <v>165000</v>
      </c>
      <c r="F854" s="555">
        <v>33825000</v>
      </c>
    </row>
    <row r="855" spans="1:6" ht="15.75">
      <c r="A855" s="136">
        <v>3</v>
      </c>
      <c r="B855" s="523" t="s">
        <v>3741</v>
      </c>
      <c r="C855" s="537" t="s">
        <v>3525</v>
      </c>
      <c r="D855" s="537">
        <v>285</v>
      </c>
      <c r="E855" s="611">
        <v>166625</v>
      </c>
      <c r="F855" s="556">
        <v>47488125</v>
      </c>
    </row>
    <row r="856" spans="1:6" ht="15.75">
      <c r="A856" s="136">
        <v>4</v>
      </c>
      <c r="B856" s="543" t="s">
        <v>3742</v>
      </c>
      <c r="C856" s="543" t="s">
        <v>3670</v>
      </c>
      <c r="D856" s="543">
        <v>250</v>
      </c>
      <c r="E856" s="528">
        <v>150000</v>
      </c>
      <c r="F856" s="555">
        <v>37500000</v>
      </c>
    </row>
    <row r="857" spans="1:6" ht="15.75">
      <c r="A857" s="136">
        <v>5</v>
      </c>
      <c r="B857" s="523" t="s">
        <v>3743</v>
      </c>
      <c r="C857" s="523" t="s">
        <v>3744</v>
      </c>
      <c r="D857" s="523">
        <v>2500</v>
      </c>
      <c r="E857" s="556">
        <v>5200</v>
      </c>
      <c r="F857" s="556">
        <v>13000000</v>
      </c>
    </row>
    <row r="858" spans="1:6" ht="15.75">
      <c r="A858" s="136">
        <v>6</v>
      </c>
      <c r="B858" s="524" t="s">
        <v>3745</v>
      </c>
      <c r="C858" s="524" t="s">
        <v>3525</v>
      </c>
      <c r="D858" s="524">
        <v>320</v>
      </c>
      <c r="E858" s="555">
        <v>118687.5</v>
      </c>
      <c r="F858" s="555">
        <v>37980000</v>
      </c>
    </row>
    <row r="859" spans="1:6" ht="15.75">
      <c r="A859" s="136">
        <v>7</v>
      </c>
      <c r="B859" s="523" t="s">
        <v>3746</v>
      </c>
      <c r="C859" s="523" t="s">
        <v>3525</v>
      </c>
      <c r="D859" s="523">
        <v>125</v>
      </c>
      <c r="E859" s="538">
        <v>325000</v>
      </c>
      <c r="F859" s="556">
        <v>40625000</v>
      </c>
    </row>
    <row r="860" spans="1:6" ht="47.25">
      <c r="A860" s="136">
        <v>8</v>
      </c>
      <c r="B860" s="524" t="s">
        <v>3747</v>
      </c>
      <c r="C860" s="524" t="s">
        <v>3525</v>
      </c>
      <c r="D860" s="524">
        <v>1</v>
      </c>
      <c r="E860" s="540">
        <v>19000000</v>
      </c>
      <c r="F860" s="555">
        <v>19000000</v>
      </c>
    </row>
    <row r="861" spans="1:6" ht="15.75">
      <c r="A861" s="136">
        <v>9</v>
      </c>
      <c r="B861" s="523" t="s">
        <v>3748</v>
      </c>
      <c r="C861" s="523" t="s">
        <v>286</v>
      </c>
      <c r="D861" s="523">
        <v>250</v>
      </c>
      <c r="E861" s="556">
        <v>80000</v>
      </c>
      <c r="F861" s="556">
        <v>20000000</v>
      </c>
    </row>
    <row r="862" spans="1:6" ht="15.75">
      <c r="A862" s="136">
        <v>10</v>
      </c>
      <c r="B862" s="524" t="s">
        <v>3749</v>
      </c>
      <c r="C862" s="524" t="s">
        <v>286</v>
      </c>
      <c r="D862" s="524">
        <v>211</v>
      </c>
      <c r="E862" s="524">
        <v>70000</v>
      </c>
      <c r="F862" s="555">
        <v>14770000</v>
      </c>
    </row>
    <row r="863" spans="1:6" ht="31.5">
      <c r="A863" s="136">
        <v>11</v>
      </c>
      <c r="B863" s="523" t="s">
        <v>3750</v>
      </c>
      <c r="C863" s="549" t="s">
        <v>286</v>
      </c>
      <c r="D863" s="523">
        <v>110</v>
      </c>
      <c r="E863" s="556">
        <v>650000</v>
      </c>
      <c r="F863" s="556">
        <v>71500000</v>
      </c>
    </row>
    <row r="864" spans="1:6" ht="31.5">
      <c r="A864" s="136">
        <v>12</v>
      </c>
      <c r="B864" s="547" t="s">
        <v>3751</v>
      </c>
      <c r="C864" s="547" t="s">
        <v>286</v>
      </c>
      <c r="D864" s="547">
        <v>305</v>
      </c>
      <c r="E864" s="564">
        <v>170000</v>
      </c>
      <c r="F864" s="555">
        <v>51850000</v>
      </c>
    </row>
    <row r="865" spans="1:6" ht="23.25" customHeight="1">
      <c r="A865" s="136"/>
      <c r="B865" s="1255" t="s">
        <v>3752</v>
      </c>
      <c r="C865" s="1255"/>
      <c r="D865" s="1255"/>
      <c r="E865" s="1255"/>
      <c r="F865" s="1255"/>
    </row>
    <row r="866" spans="1:6" ht="31.5">
      <c r="A866" s="136">
        <v>1</v>
      </c>
      <c r="B866" s="523" t="s">
        <v>3753</v>
      </c>
      <c r="C866" s="523" t="s">
        <v>3525</v>
      </c>
      <c r="D866" s="523">
        <v>1</v>
      </c>
      <c r="E866" s="534">
        <v>22000000</v>
      </c>
      <c r="F866" s="556">
        <v>22000000</v>
      </c>
    </row>
    <row r="867" spans="1:6" ht="15.75">
      <c r="A867" s="136">
        <v>2</v>
      </c>
      <c r="B867" s="539" t="s">
        <v>3754</v>
      </c>
      <c r="C867" s="524" t="s">
        <v>286</v>
      </c>
      <c r="D867" s="539">
        <v>10</v>
      </c>
      <c r="E867" s="542">
        <v>70000</v>
      </c>
      <c r="F867" s="555">
        <v>700000</v>
      </c>
    </row>
    <row r="868" spans="1:6" ht="15.75">
      <c r="A868" s="136">
        <v>3</v>
      </c>
      <c r="B868" s="537" t="s">
        <v>3755</v>
      </c>
      <c r="C868" s="523" t="s">
        <v>286</v>
      </c>
      <c r="D868" s="537">
        <v>4</v>
      </c>
      <c r="E868" s="541">
        <v>130000</v>
      </c>
      <c r="F868" s="556">
        <v>520000</v>
      </c>
    </row>
    <row r="869" spans="1:6" ht="15.75">
      <c r="A869" s="136">
        <v>4</v>
      </c>
      <c r="B869" s="539" t="s">
        <v>3756</v>
      </c>
      <c r="C869" s="524" t="s">
        <v>286</v>
      </c>
      <c r="D869" s="539">
        <v>2</v>
      </c>
      <c r="E869" s="542">
        <v>550000</v>
      </c>
      <c r="F869" s="555">
        <v>1100000</v>
      </c>
    </row>
    <row r="870" spans="1:6" ht="31.5">
      <c r="A870" s="136">
        <v>5</v>
      </c>
      <c r="B870" s="537" t="s">
        <v>3757</v>
      </c>
      <c r="C870" s="523" t="s">
        <v>1176</v>
      </c>
      <c r="D870" s="537">
        <v>6000</v>
      </c>
      <c r="E870" s="541">
        <v>6500</v>
      </c>
      <c r="F870" s="556">
        <v>39000000</v>
      </c>
    </row>
    <row r="871" spans="1:6" ht="15.75">
      <c r="A871" s="136">
        <v>6</v>
      </c>
      <c r="B871" s="539" t="s">
        <v>3758</v>
      </c>
      <c r="C871" s="524" t="s">
        <v>278</v>
      </c>
      <c r="D871" s="539">
        <v>6</v>
      </c>
      <c r="E871" s="542">
        <v>1500000</v>
      </c>
      <c r="F871" s="555">
        <v>9000000</v>
      </c>
    </row>
    <row r="872" spans="1:6" ht="31.5">
      <c r="A872" s="136">
        <v>7</v>
      </c>
      <c r="B872" s="537" t="s">
        <v>3759</v>
      </c>
      <c r="C872" s="523" t="s">
        <v>286</v>
      </c>
      <c r="D872" s="537">
        <v>10</v>
      </c>
      <c r="E872" s="541">
        <v>55000</v>
      </c>
      <c r="F872" s="556">
        <v>550000</v>
      </c>
    </row>
    <row r="873" spans="1:6" ht="31.5">
      <c r="A873" s="136">
        <v>8</v>
      </c>
      <c r="B873" s="539" t="s">
        <v>3760</v>
      </c>
      <c r="C873" s="524" t="s">
        <v>286</v>
      </c>
      <c r="D873" s="539">
        <v>5</v>
      </c>
      <c r="E873" s="542">
        <v>67000</v>
      </c>
      <c r="F873" s="555">
        <v>335000</v>
      </c>
    </row>
    <row r="874" spans="1:6" ht="31.5">
      <c r="A874" s="136">
        <v>9</v>
      </c>
      <c r="B874" s="537" t="s">
        <v>3761</v>
      </c>
      <c r="C874" s="523" t="s">
        <v>286</v>
      </c>
      <c r="D874" s="537">
        <v>78</v>
      </c>
      <c r="E874" s="541">
        <v>85000</v>
      </c>
      <c r="F874" s="556">
        <v>6630000</v>
      </c>
    </row>
    <row r="875" spans="1:6" ht="31.5">
      <c r="A875" s="136">
        <v>10</v>
      </c>
      <c r="B875" s="539" t="s">
        <v>3762</v>
      </c>
      <c r="C875" s="524" t="s">
        <v>286</v>
      </c>
      <c r="D875" s="539">
        <v>2</v>
      </c>
      <c r="E875" s="542">
        <v>120000</v>
      </c>
      <c r="F875" s="555">
        <v>240000</v>
      </c>
    </row>
    <row r="876" spans="1:6" ht="31.5">
      <c r="A876" s="136">
        <v>11</v>
      </c>
      <c r="B876" s="537" t="s">
        <v>3763</v>
      </c>
      <c r="C876" s="523" t="s">
        <v>286</v>
      </c>
      <c r="D876" s="537">
        <v>31</v>
      </c>
      <c r="E876" s="541">
        <v>102000</v>
      </c>
      <c r="F876" s="556">
        <v>3162000</v>
      </c>
    </row>
    <row r="877" spans="1:6" ht="31.5">
      <c r="A877" s="136">
        <v>12</v>
      </c>
      <c r="B877" s="543" t="s">
        <v>3764</v>
      </c>
      <c r="C877" s="543" t="s">
        <v>1177</v>
      </c>
      <c r="D877" s="543">
        <v>1300</v>
      </c>
      <c r="E877" s="544">
        <v>6000</v>
      </c>
      <c r="F877" s="555">
        <v>7800000</v>
      </c>
    </row>
    <row r="878" spans="1:6" ht="15.75">
      <c r="A878" s="136">
        <v>13</v>
      </c>
      <c r="B878" s="549" t="s">
        <v>3765</v>
      </c>
      <c r="C878" s="549" t="s">
        <v>286</v>
      </c>
      <c r="D878" s="549">
        <v>10</v>
      </c>
      <c r="E878" s="581">
        <v>53000</v>
      </c>
      <c r="F878" s="556">
        <v>530000</v>
      </c>
    </row>
    <row r="879" spans="1:6" ht="15.75">
      <c r="A879" s="136">
        <v>14</v>
      </c>
      <c r="B879" s="543" t="s">
        <v>3766</v>
      </c>
      <c r="C879" s="543" t="s">
        <v>286</v>
      </c>
      <c r="D879" s="543">
        <v>15</v>
      </c>
      <c r="E879" s="544">
        <v>60000</v>
      </c>
      <c r="F879" s="555">
        <v>900000</v>
      </c>
    </row>
    <row r="880" spans="1:6" ht="15.75">
      <c r="A880" s="136">
        <v>15</v>
      </c>
      <c r="B880" s="549" t="s">
        <v>3767</v>
      </c>
      <c r="C880" s="549" t="s">
        <v>286</v>
      </c>
      <c r="D880" s="549">
        <v>65</v>
      </c>
      <c r="E880" s="581">
        <v>120000</v>
      </c>
      <c r="F880" s="556">
        <v>7800000</v>
      </c>
    </row>
    <row r="881" spans="1:6" ht="15.75">
      <c r="A881" s="136">
        <v>16</v>
      </c>
      <c r="B881" s="543" t="s">
        <v>3768</v>
      </c>
      <c r="C881" s="543" t="s">
        <v>286</v>
      </c>
      <c r="D881" s="543">
        <v>10</v>
      </c>
      <c r="E881" s="544">
        <v>143000</v>
      </c>
      <c r="F881" s="555">
        <v>1430000</v>
      </c>
    </row>
    <row r="882" spans="1:6" ht="15.75">
      <c r="A882" s="136">
        <v>17</v>
      </c>
      <c r="B882" s="549" t="s">
        <v>3769</v>
      </c>
      <c r="C882" s="549" t="s">
        <v>286</v>
      </c>
      <c r="D882" s="549">
        <v>10</v>
      </c>
      <c r="E882" s="581">
        <v>110000</v>
      </c>
      <c r="F882" s="556">
        <v>1100000</v>
      </c>
    </row>
    <row r="883" spans="1:6" ht="15.75">
      <c r="A883" s="136">
        <v>18</v>
      </c>
      <c r="B883" s="543" t="s">
        <v>3770</v>
      </c>
      <c r="C883" s="543" t="s">
        <v>286</v>
      </c>
      <c r="D883" s="543">
        <v>35</v>
      </c>
      <c r="E883" s="544">
        <v>66000</v>
      </c>
      <c r="F883" s="555">
        <v>2310000</v>
      </c>
    </row>
    <row r="884" spans="1:6" ht="15.75">
      <c r="A884" s="136">
        <v>19</v>
      </c>
      <c r="B884" s="549" t="s">
        <v>3771</v>
      </c>
      <c r="C884" s="549" t="s">
        <v>286</v>
      </c>
      <c r="D884" s="549">
        <v>30</v>
      </c>
      <c r="E884" s="581">
        <v>78000</v>
      </c>
      <c r="F884" s="556">
        <v>2340000</v>
      </c>
    </row>
    <row r="885" spans="1:6" ht="31.5">
      <c r="A885" s="136">
        <v>20</v>
      </c>
      <c r="B885" s="543" t="s">
        <v>3772</v>
      </c>
      <c r="C885" s="543" t="s">
        <v>286</v>
      </c>
      <c r="D885" s="543">
        <v>35</v>
      </c>
      <c r="E885" s="544">
        <v>135000</v>
      </c>
      <c r="F885" s="555">
        <v>4725000</v>
      </c>
    </row>
    <row r="886" spans="1:6" ht="15.75">
      <c r="A886" s="136">
        <v>21</v>
      </c>
      <c r="B886" s="549" t="s">
        <v>3773</v>
      </c>
      <c r="C886" s="549" t="s">
        <v>286</v>
      </c>
      <c r="D886" s="549">
        <v>80</v>
      </c>
      <c r="E886" s="581">
        <v>2000</v>
      </c>
      <c r="F886" s="556">
        <v>160000</v>
      </c>
    </row>
    <row r="887" spans="1:6" ht="31.5">
      <c r="A887" s="136">
        <v>22</v>
      </c>
      <c r="B887" s="543" t="s">
        <v>3774</v>
      </c>
      <c r="C887" s="543" t="s">
        <v>286</v>
      </c>
      <c r="D887" s="543">
        <v>3</v>
      </c>
      <c r="E887" s="544">
        <v>220000</v>
      </c>
      <c r="F887" s="555">
        <v>660000</v>
      </c>
    </row>
    <row r="888" spans="1:6" ht="31.5">
      <c r="A888" s="136">
        <v>23</v>
      </c>
      <c r="B888" s="523" t="s">
        <v>3775</v>
      </c>
      <c r="C888" s="545" t="s">
        <v>1176</v>
      </c>
      <c r="D888" s="537">
        <v>1146</v>
      </c>
      <c r="E888" s="527">
        <v>5000</v>
      </c>
      <c r="F888" s="556">
        <v>5730000</v>
      </c>
    </row>
    <row r="889" spans="1:6" ht="31.5">
      <c r="A889" s="136">
        <v>24</v>
      </c>
      <c r="B889" s="524" t="s">
        <v>3776</v>
      </c>
      <c r="C889" s="539" t="s">
        <v>3525</v>
      </c>
      <c r="D889" s="539">
        <v>17</v>
      </c>
      <c r="E889" s="526">
        <v>75000</v>
      </c>
      <c r="F889" s="555">
        <v>1275000</v>
      </c>
    </row>
    <row r="890" spans="1:6" ht="31.5">
      <c r="A890" s="136">
        <v>25</v>
      </c>
      <c r="B890" s="523" t="s">
        <v>3777</v>
      </c>
      <c r="C890" s="537" t="s">
        <v>3525</v>
      </c>
      <c r="D890" s="537">
        <v>20</v>
      </c>
      <c r="E890" s="527">
        <v>95000</v>
      </c>
      <c r="F890" s="556">
        <v>1900000</v>
      </c>
    </row>
    <row r="891" spans="1:6" ht="31.5">
      <c r="A891" s="136">
        <v>26</v>
      </c>
      <c r="B891" s="524" t="s">
        <v>3778</v>
      </c>
      <c r="C891" s="539" t="s">
        <v>3525</v>
      </c>
      <c r="D891" s="539">
        <v>25</v>
      </c>
      <c r="E891" s="526">
        <v>80000</v>
      </c>
      <c r="F891" s="555">
        <v>2000000</v>
      </c>
    </row>
    <row r="892" spans="1:6" ht="31.5">
      <c r="A892" s="136">
        <v>27</v>
      </c>
      <c r="B892" s="523" t="s">
        <v>3779</v>
      </c>
      <c r="C892" s="537" t="s">
        <v>3525</v>
      </c>
      <c r="D892" s="537">
        <v>35</v>
      </c>
      <c r="E892" s="527">
        <v>120000</v>
      </c>
      <c r="F892" s="556">
        <v>4200000</v>
      </c>
    </row>
    <row r="893" spans="1:6" ht="15.75">
      <c r="A893" s="136">
        <v>28</v>
      </c>
      <c r="B893" s="543" t="s">
        <v>3780</v>
      </c>
      <c r="C893" s="543" t="s">
        <v>3658</v>
      </c>
      <c r="D893" s="543">
        <v>5</v>
      </c>
      <c r="E893" s="554">
        <v>90000</v>
      </c>
      <c r="F893" s="555">
        <v>450000</v>
      </c>
    </row>
    <row r="894" spans="1:6" ht="15.75">
      <c r="A894" s="136">
        <v>29</v>
      </c>
      <c r="B894" s="549" t="s">
        <v>3781</v>
      </c>
      <c r="C894" s="549" t="s">
        <v>3658</v>
      </c>
      <c r="D894" s="549">
        <v>3</v>
      </c>
      <c r="E894" s="553">
        <v>80000</v>
      </c>
      <c r="F894" s="556">
        <v>240000</v>
      </c>
    </row>
    <row r="895" spans="1:6" ht="15.75">
      <c r="A895" s="136">
        <v>30</v>
      </c>
      <c r="B895" s="543" t="s">
        <v>3782</v>
      </c>
      <c r="C895" s="543" t="s">
        <v>3658</v>
      </c>
      <c r="D895" s="543">
        <v>7</v>
      </c>
      <c r="E895" s="554">
        <v>70000</v>
      </c>
      <c r="F895" s="555">
        <v>490000</v>
      </c>
    </row>
    <row r="896" spans="1:6" ht="15.75">
      <c r="A896" s="136">
        <v>31</v>
      </c>
      <c r="B896" s="549" t="s">
        <v>3783</v>
      </c>
      <c r="C896" s="549" t="s">
        <v>3658</v>
      </c>
      <c r="D896" s="549">
        <v>4</v>
      </c>
      <c r="E896" s="553">
        <v>120000</v>
      </c>
      <c r="F896" s="556">
        <v>480000</v>
      </c>
    </row>
    <row r="897" spans="1:6" ht="15.75">
      <c r="A897" s="136">
        <v>32</v>
      </c>
      <c r="B897" s="543" t="s">
        <v>3784</v>
      </c>
      <c r="C897" s="543" t="s">
        <v>286</v>
      </c>
      <c r="D897" s="543">
        <v>10</v>
      </c>
      <c r="E897" s="554">
        <v>50000</v>
      </c>
      <c r="F897" s="555">
        <v>500000</v>
      </c>
    </row>
    <row r="898" spans="1:6" ht="15.75">
      <c r="A898" s="136">
        <v>33</v>
      </c>
      <c r="B898" s="549" t="s">
        <v>3785</v>
      </c>
      <c r="C898" s="549" t="s">
        <v>286</v>
      </c>
      <c r="D898" s="549">
        <v>10</v>
      </c>
      <c r="E898" s="553">
        <v>50000</v>
      </c>
      <c r="F898" s="556">
        <v>500000</v>
      </c>
    </row>
    <row r="899" spans="1:6" ht="15.75">
      <c r="A899" s="136">
        <v>34</v>
      </c>
      <c r="B899" s="524" t="s">
        <v>3786</v>
      </c>
      <c r="C899" s="543" t="s">
        <v>286</v>
      </c>
      <c r="D899" s="543">
        <v>10</v>
      </c>
      <c r="E899" s="554">
        <v>30000</v>
      </c>
      <c r="F899" s="555">
        <v>300000</v>
      </c>
    </row>
    <row r="900" spans="1:6" ht="15.75">
      <c r="A900" s="136">
        <v>35</v>
      </c>
      <c r="B900" s="549" t="s">
        <v>3787</v>
      </c>
      <c r="C900" s="549" t="s">
        <v>3658</v>
      </c>
      <c r="D900" s="549">
        <v>12</v>
      </c>
      <c r="E900" s="553">
        <v>60000</v>
      </c>
      <c r="F900" s="556">
        <v>720000</v>
      </c>
    </row>
    <row r="901" spans="1:6" ht="15.75">
      <c r="A901" s="136">
        <v>36</v>
      </c>
      <c r="B901" s="543" t="s">
        <v>3787</v>
      </c>
      <c r="C901" s="543" t="s">
        <v>3658</v>
      </c>
      <c r="D901" s="543">
        <v>2</v>
      </c>
      <c r="E901" s="554">
        <v>50000</v>
      </c>
      <c r="F901" s="555">
        <v>100000</v>
      </c>
    </row>
    <row r="902" spans="1:6" ht="15.75">
      <c r="A902" s="136">
        <v>37</v>
      </c>
      <c r="B902" s="549" t="s">
        <v>3787</v>
      </c>
      <c r="C902" s="549" t="s">
        <v>3658</v>
      </c>
      <c r="D902" s="549">
        <v>19</v>
      </c>
      <c r="E902" s="553">
        <v>45000</v>
      </c>
      <c r="F902" s="556">
        <v>855000</v>
      </c>
    </row>
    <row r="903" spans="1:6" ht="15.75">
      <c r="A903" s="136">
        <v>38</v>
      </c>
      <c r="B903" s="543" t="s">
        <v>3784</v>
      </c>
      <c r="C903" s="543" t="s">
        <v>286</v>
      </c>
      <c r="D903" s="543">
        <v>10</v>
      </c>
      <c r="E903" s="554">
        <v>68000</v>
      </c>
      <c r="F903" s="555">
        <v>680000</v>
      </c>
    </row>
    <row r="904" spans="1:6" ht="15.75">
      <c r="A904" s="136">
        <v>39</v>
      </c>
      <c r="B904" s="549" t="s">
        <v>3785</v>
      </c>
      <c r="C904" s="549" t="s">
        <v>286</v>
      </c>
      <c r="D904" s="549">
        <v>10</v>
      </c>
      <c r="E904" s="553">
        <v>68000</v>
      </c>
      <c r="F904" s="556">
        <v>680000</v>
      </c>
    </row>
    <row r="905" spans="1:6" ht="15.75">
      <c r="A905" s="136">
        <v>40</v>
      </c>
      <c r="B905" s="524" t="s">
        <v>3786</v>
      </c>
      <c r="C905" s="543" t="s">
        <v>286</v>
      </c>
      <c r="D905" s="543">
        <v>10</v>
      </c>
      <c r="E905" s="554">
        <v>40000</v>
      </c>
      <c r="F905" s="555">
        <v>400000</v>
      </c>
    </row>
    <row r="906" spans="1:6" ht="15.75">
      <c r="A906" s="136">
        <v>41</v>
      </c>
      <c r="B906" s="549" t="s">
        <v>3788</v>
      </c>
      <c r="C906" s="549" t="s">
        <v>286</v>
      </c>
      <c r="D906" s="549">
        <v>10</v>
      </c>
      <c r="E906" s="553">
        <v>60000</v>
      </c>
      <c r="F906" s="556">
        <v>600000</v>
      </c>
    </row>
    <row r="907" spans="1:6" ht="15.75">
      <c r="A907" s="136">
        <v>42</v>
      </c>
      <c r="B907" s="543" t="s">
        <v>3789</v>
      </c>
      <c r="C907" s="543" t="s">
        <v>286</v>
      </c>
      <c r="D907" s="543">
        <v>10</v>
      </c>
      <c r="E907" s="554">
        <v>60000</v>
      </c>
      <c r="F907" s="555">
        <v>600000</v>
      </c>
    </row>
    <row r="908" spans="1:6" ht="15.75">
      <c r="A908" s="136">
        <v>43</v>
      </c>
      <c r="B908" s="523" t="s">
        <v>3790</v>
      </c>
      <c r="C908" s="523" t="s">
        <v>1176</v>
      </c>
      <c r="D908" s="523">
        <v>1000</v>
      </c>
      <c r="E908" s="556">
        <v>6000</v>
      </c>
      <c r="F908" s="556">
        <v>6000000</v>
      </c>
    </row>
    <row r="909" spans="1:6" ht="15.75">
      <c r="A909" s="136">
        <v>44</v>
      </c>
      <c r="B909" s="524" t="s">
        <v>3791</v>
      </c>
      <c r="C909" s="524" t="s">
        <v>286</v>
      </c>
      <c r="D909" s="524">
        <v>60</v>
      </c>
      <c r="E909" s="555">
        <v>110000</v>
      </c>
      <c r="F909" s="555">
        <v>6600000</v>
      </c>
    </row>
    <row r="910" spans="1:6" ht="31.5">
      <c r="A910" s="136">
        <v>45</v>
      </c>
      <c r="B910" s="523" t="s">
        <v>3792</v>
      </c>
      <c r="C910" s="523" t="s">
        <v>1176</v>
      </c>
      <c r="D910" s="523">
        <v>500</v>
      </c>
      <c r="E910" s="556">
        <v>3000</v>
      </c>
      <c r="F910" s="556">
        <v>1500000</v>
      </c>
    </row>
    <row r="911" spans="1:6" ht="15.75">
      <c r="A911" s="136">
        <v>46</v>
      </c>
      <c r="B911" s="524" t="s">
        <v>3793</v>
      </c>
      <c r="C911" s="524" t="s">
        <v>286</v>
      </c>
      <c r="D911" s="524">
        <v>84</v>
      </c>
      <c r="E911" s="533">
        <v>65000</v>
      </c>
      <c r="F911" s="555">
        <v>5460000</v>
      </c>
    </row>
    <row r="912" spans="1:6" ht="15.75">
      <c r="A912" s="136">
        <v>47</v>
      </c>
      <c r="B912" s="549" t="s">
        <v>3787</v>
      </c>
      <c r="C912" s="549" t="s">
        <v>286</v>
      </c>
      <c r="D912" s="549">
        <v>22</v>
      </c>
      <c r="E912" s="553">
        <v>80000</v>
      </c>
      <c r="F912" s="556">
        <v>1760000</v>
      </c>
    </row>
    <row r="913" spans="1:6" ht="15.75">
      <c r="A913" s="136">
        <v>48</v>
      </c>
      <c r="B913" s="543" t="s">
        <v>3787</v>
      </c>
      <c r="C913" s="543" t="s">
        <v>286</v>
      </c>
      <c r="D913" s="543">
        <v>6</v>
      </c>
      <c r="E913" s="554">
        <v>70000</v>
      </c>
      <c r="F913" s="555">
        <v>420000</v>
      </c>
    </row>
    <row r="914" spans="1:6" ht="15.75">
      <c r="A914" s="136">
        <v>49</v>
      </c>
      <c r="B914" s="549" t="s">
        <v>3787</v>
      </c>
      <c r="C914" s="549" t="s">
        <v>286</v>
      </c>
      <c r="D914" s="549">
        <v>12</v>
      </c>
      <c r="E914" s="553">
        <v>60000</v>
      </c>
      <c r="F914" s="556">
        <v>720000</v>
      </c>
    </row>
    <row r="915" spans="1:6" ht="15.75">
      <c r="A915" s="136">
        <v>50</v>
      </c>
      <c r="B915" s="543" t="s">
        <v>3784</v>
      </c>
      <c r="C915" s="543" t="s">
        <v>286</v>
      </c>
      <c r="D915" s="543">
        <v>5</v>
      </c>
      <c r="E915" s="554">
        <v>50000</v>
      </c>
      <c r="F915" s="555">
        <v>250000</v>
      </c>
    </row>
    <row r="916" spans="1:6" ht="15.75">
      <c r="A916" s="136">
        <v>51</v>
      </c>
      <c r="B916" s="549" t="s">
        <v>3785</v>
      </c>
      <c r="C916" s="549" t="s">
        <v>286</v>
      </c>
      <c r="D916" s="549">
        <v>5</v>
      </c>
      <c r="E916" s="553">
        <v>50000</v>
      </c>
      <c r="F916" s="556">
        <v>250000</v>
      </c>
    </row>
    <row r="917" spans="1:6" ht="15.75">
      <c r="A917" s="136">
        <v>52</v>
      </c>
      <c r="B917" s="524" t="s">
        <v>3786</v>
      </c>
      <c r="C917" s="543" t="s">
        <v>286</v>
      </c>
      <c r="D917" s="543">
        <v>8</v>
      </c>
      <c r="E917" s="554">
        <v>30000</v>
      </c>
      <c r="F917" s="555">
        <v>240000</v>
      </c>
    </row>
    <row r="918" spans="1:6" ht="31.5">
      <c r="A918" s="136">
        <v>53</v>
      </c>
      <c r="B918" s="549" t="s">
        <v>3794</v>
      </c>
      <c r="C918" s="549" t="s">
        <v>3525</v>
      </c>
      <c r="D918" s="549">
        <v>19</v>
      </c>
      <c r="E918" s="525">
        <v>75000</v>
      </c>
      <c r="F918" s="556">
        <v>1425000</v>
      </c>
    </row>
    <row r="919" spans="1:6" ht="31.5">
      <c r="A919" s="136">
        <v>54</v>
      </c>
      <c r="B919" s="543" t="s">
        <v>3795</v>
      </c>
      <c r="C919" s="543" t="s">
        <v>3525</v>
      </c>
      <c r="D919" s="543">
        <v>20</v>
      </c>
      <c r="E919" s="528">
        <v>120000</v>
      </c>
      <c r="F919" s="555">
        <v>2400000</v>
      </c>
    </row>
    <row r="920" spans="1:6" ht="32.25" customHeight="1">
      <c r="A920" s="136"/>
      <c r="B920" s="1254" t="s">
        <v>3876</v>
      </c>
      <c r="C920" s="1255"/>
      <c r="D920" s="1255"/>
      <c r="E920" s="1255"/>
      <c r="F920" s="1255"/>
    </row>
    <row r="921" spans="1:6" ht="15.75">
      <c r="A921" s="136">
        <v>1</v>
      </c>
      <c r="B921" s="523" t="s">
        <v>3796</v>
      </c>
      <c r="C921" s="523" t="s">
        <v>286</v>
      </c>
      <c r="D921" s="537">
        <v>10</v>
      </c>
      <c r="E921" s="580">
        <v>50000</v>
      </c>
      <c r="F921" s="556">
        <v>500000</v>
      </c>
    </row>
    <row r="922" spans="1:6" ht="31.5">
      <c r="A922" s="136">
        <v>2</v>
      </c>
      <c r="B922" s="524" t="s">
        <v>3797</v>
      </c>
      <c r="C922" s="524" t="s">
        <v>286</v>
      </c>
      <c r="D922" s="539">
        <v>10</v>
      </c>
      <c r="E922" s="587">
        <v>50000</v>
      </c>
      <c r="F922" s="555">
        <v>500000</v>
      </c>
    </row>
    <row r="923" spans="1:6" ht="15.75">
      <c r="A923" s="136">
        <v>3</v>
      </c>
      <c r="B923" s="523" t="s">
        <v>3798</v>
      </c>
      <c r="C923" s="523" t="s">
        <v>286</v>
      </c>
      <c r="D923" s="537">
        <v>10</v>
      </c>
      <c r="E923" s="580">
        <v>50000</v>
      </c>
      <c r="F923" s="556">
        <v>500000</v>
      </c>
    </row>
    <row r="924" spans="1:6" ht="15.75">
      <c r="A924" s="136">
        <v>4</v>
      </c>
      <c r="B924" s="524" t="s">
        <v>3799</v>
      </c>
      <c r="C924" s="524" t="s">
        <v>286</v>
      </c>
      <c r="D924" s="539">
        <v>10</v>
      </c>
      <c r="E924" s="587">
        <v>50000</v>
      </c>
      <c r="F924" s="555">
        <v>500000</v>
      </c>
    </row>
    <row r="925" spans="1:6" ht="15.75">
      <c r="A925" s="136">
        <v>5</v>
      </c>
      <c r="B925" s="523" t="s">
        <v>3800</v>
      </c>
      <c r="C925" s="523" t="s">
        <v>286</v>
      </c>
      <c r="D925" s="537">
        <v>10</v>
      </c>
      <c r="E925" s="580">
        <v>50000</v>
      </c>
      <c r="F925" s="556">
        <v>500000</v>
      </c>
    </row>
    <row r="926" spans="1:6" ht="31.5">
      <c r="A926" s="136">
        <v>6</v>
      </c>
      <c r="B926" s="524" t="s">
        <v>3801</v>
      </c>
      <c r="C926" s="524" t="s">
        <v>286</v>
      </c>
      <c r="D926" s="539">
        <v>10</v>
      </c>
      <c r="E926" s="587">
        <v>50000</v>
      </c>
      <c r="F926" s="555">
        <v>500000</v>
      </c>
    </row>
    <row r="927" spans="1:6" ht="15.75">
      <c r="A927" s="136">
        <v>7</v>
      </c>
      <c r="B927" s="523" t="s">
        <v>3802</v>
      </c>
      <c r="C927" s="523" t="s">
        <v>286</v>
      </c>
      <c r="D927" s="537">
        <v>10</v>
      </c>
      <c r="E927" s="580">
        <v>50000</v>
      </c>
      <c r="F927" s="556">
        <v>500000</v>
      </c>
    </row>
    <row r="928" spans="1:6" ht="31.5">
      <c r="A928" s="136">
        <v>8</v>
      </c>
      <c r="B928" s="524" t="s">
        <v>3803</v>
      </c>
      <c r="C928" s="524" t="s">
        <v>286</v>
      </c>
      <c r="D928" s="539">
        <v>10</v>
      </c>
      <c r="E928" s="587">
        <v>50000</v>
      </c>
      <c r="F928" s="555">
        <v>500000</v>
      </c>
    </row>
    <row r="929" spans="1:6" ht="15.75">
      <c r="A929" s="136">
        <v>9</v>
      </c>
      <c r="B929" s="537" t="s">
        <v>3804</v>
      </c>
      <c r="C929" s="523" t="s">
        <v>286</v>
      </c>
      <c r="D929" s="537">
        <v>4</v>
      </c>
      <c r="E929" s="541">
        <v>35000</v>
      </c>
      <c r="F929" s="556">
        <v>140000</v>
      </c>
    </row>
    <row r="930" spans="1:6" ht="15.75">
      <c r="A930" s="136">
        <v>10</v>
      </c>
      <c r="B930" s="524" t="s">
        <v>3805</v>
      </c>
      <c r="C930" s="524" t="s">
        <v>286</v>
      </c>
      <c r="D930" s="524">
        <v>4</v>
      </c>
      <c r="E930" s="615">
        <v>35000</v>
      </c>
      <c r="F930" s="555">
        <v>140000</v>
      </c>
    </row>
    <row r="931" spans="1:6" ht="15.75">
      <c r="A931" s="136">
        <v>11</v>
      </c>
      <c r="B931" s="523" t="s">
        <v>3806</v>
      </c>
      <c r="C931" s="523" t="s">
        <v>286</v>
      </c>
      <c r="D931" s="523">
        <v>4</v>
      </c>
      <c r="E931" s="616">
        <v>40000</v>
      </c>
      <c r="F931" s="556">
        <v>160000</v>
      </c>
    </row>
    <row r="932" spans="1:6" ht="15.75">
      <c r="A932" s="136">
        <v>12</v>
      </c>
      <c r="B932" s="524" t="s">
        <v>3807</v>
      </c>
      <c r="C932" s="524" t="s">
        <v>286</v>
      </c>
      <c r="D932" s="524">
        <v>4</v>
      </c>
      <c r="E932" s="615">
        <v>40000</v>
      </c>
      <c r="F932" s="555">
        <v>160000</v>
      </c>
    </row>
    <row r="933" spans="1:6" ht="31.5">
      <c r="A933" s="136">
        <v>13</v>
      </c>
      <c r="B933" s="523" t="s">
        <v>3808</v>
      </c>
      <c r="C933" s="523" t="s">
        <v>286</v>
      </c>
      <c r="D933" s="523">
        <v>4</v>
      </c>
      <c r="E933" s="616">
        <v>40000</v>
      </c>
      <c r="F933" s="556">
        <v>160000</v>
      </c>
    </row>
    <row r="934" spans="1:6" ht="15.75">
      <c r="A934" s="136">
        <v>14</v>
      </c>
      <c r="B934" s="524" t="s">
        <v>3809</v>
      </c>
      <c r="C934" s="524" t="s">
        <v>286</v>
      </c>
      <c r="D934" s="524">
        <v>8</v>
      </c>
      <c r="E934" s="615">
        <v>40000</v>
      </c>
      <c r="F934" s="555">
        <v>320000</v>
      </c>
    </row>
    <row r="935" spans="1:6" ht="15.75">
      <c r="A935" s="136">
        <v>15</v>
      </c>
      <c r="B935" s="523" t="s">
        <v>3810</v>
      </c>
      <c r="C935" s="523" t="s">
        <v>286</v>
      </c>
      <c r="D935" s="523">
        <v>100</v>
      </c>
      <c r="E935" s="616">
        <v>6000</v>
      </c>
      <c r="F935" s="556">
        <v>600000</v>
      </c>
    </row>
    <row r="936" spans="1:6" ht="31.5">
      <c r="A936" s="136">
        <v>16</v>
      </c>
      <c r="B936" s="528" t="s">
        <v>3811</v>
      </c>
      <c r="C936" s="528" t="s">
        <v>27</v>
      </c>
      <c r="D936" s="614">
        <v>200</v>
      </c>
      <c r="E936" s="533">
        <v>40000</v>
      </c>
      <c r="F936" s="555">
        <v>8000000</v>
      </c>
    </row>
    <row r="937" spans="1:6" ht="31.5">
      <c r="A937" s="136">
        <v>17</v>
      </c>
      <c r="B937" s="537" t="s">
        <v>3812</v>
      </c>
      <c r="C937" s="523" t="s">
        <v>432</v>
      </c>
      <c r="D937" s="537">
        <v>100</v>
      </c>
      <c r="E937" s="541">
        <v>15000</v>
      </c>
      <c r="F937" s="556">
        <v>1500000</v>
      </c>
    </row>
    <row r="938" spans="1:6" ht="15.75">
      <c r="A938" s="136">
        <v>18</v>
      </c>
      <c r="B938" s="524" t="s">
        <v>2170</v>
      </c>
      <c r="C938" s="524" t="s">
        <v>3723</v>
      </c>
      <c r="D938" s="524">
        <v>1</v>
      </c>
      <c r="E938" s="524">
        <v>2420000</v>
      </c>
      <c r="F938" s="555">
        <v>2420000</v>
      </c>
    </row>
    <row r="939" spans="1:6" ht="15.75">
      <c r="A939" s="136">
        <v>19</v>
      </c>
      <c r="B939" s="523" t="s">
        <v>3813</v>
      </c>
      <c r="C939" s="523" t="s">
        <v>286</v>
      </c>
      <c r="D939" s="523">
        <v>2</v>
      </c>
      <c r="E939" s="523">
        <v>300700</v>
      </c>
      <c r="F939" s="556">
        <v>601400</v>
      </c>
    </row>
    <row r="940" spans="1:6" ht="15.75">
      <c r="A940" s="136">
        <v>20</v>
      </c>
      <c r="B940" s="524" t="s">
        <v>3814</v>
      </c>
      <c r="C940" s="524" t="s">
        <v>286</v>
      </c>
      <c r="D940" s="524">
        <v>2</v>
      </c>
      <c r="E940" s="524">
        <v>400800</v>
      </c>
      <c r="F940" s="555">
        <v>801600</v>
      </c>
    </row>
    <row r="941" spans="1:6" ht="15.75">
      <c r="A941" s="136">
        <v>21</v>
      </c>
      <c r="B941" s="523" t="s">
        <v>3815</v>
      </c>
      <c r="C941" s="523" t="s">
        <v>278</v>
      </c>
      <c r="D941" s="523">
        <v>2</v>
      </c>
      <c r="E941" s="523">
        <v>161400</v>
      </c>
      <c r="F941" s="556">
        <v>322800</v>
      </c>
    </row>
    <row r="942" spans="1:6" ht="15.75">
      <c r="A942" s="136">
        <v>22</v>
      </c>
      <c r="B942" s="524" t="s">
        <v>3816</v>
      </c>
      <c r="C942" s="524" t="s">
        <v>286</v>
      </c>
      <c r="D942" s="524">
        <v>4</v>
      </c>
      <c r="E942" s="524">
        <v>35700</v>
      </c>
      <c r="F942" s="555">
        <v>142800</v>
      </c>
    </row>
    <row r="943" spans="1:6" ht="15.75">
      <c r="A943" s="136">
        <v>23</v>
      </c>
      <c r="B943" s="523" t="s">
        <v>3817</v>
      </c>
      <c r="C943" s="523" t="s">
        <v>27</v>
      </c>
      <c r="D943" s="523">
        <v>20</v>
      </c>
      <c r="E943" s="523">
        <v>46100</v>
      </c>
      <c r="F943" s="556">
        <v>922000</v>
      </c>
    </row>
    <row r="944" spans="1:6" ht="31.5">
      <c r="A944" s="136">
        <v>24</v>
      </c>
      <c r="B944" s="524" t="s">
        <v>3818</v>
      </c>
      <c r="C944" s="524" t="s">
        <v>286</v>
      </c>
      <c r="D944" s="524">
        <v>2</v>
      </c>
      <c r="E944" s="524">
        <v>64300</v>
      </c>
      <c r="F944" s="555">
        <v>128600</v>
      </c>
    </row>
    <row r="945" spans="1:6" ht="31.5">
      <c r="A945" s="136">
        <v>25</v>
      </c>
      <c r="B945" s="573" t="s">
        <v>3819</v>
      </c>
      <c r="C945" s="545" t="s">
        <v>286</v>
      </c>
      <c r="D945" s="545">
        <v>80</v>
      </c>
      <c r="E945" s="617">
        <v>12500</v>
      </c>
      <c r="F945" s="556">
        <v>1000000</v>
      </c>
    </row>
    <row r="946" spans="1:6" ht="15.75">
      <c r="A946" s="136">
        <v>26</v>
      </c>
      <c r="B946" s="524" t="s">
        <v>3820</v>
      </c>
      <c r="C946" s="547" t="s">
        <v>27</v>
      </c>
      <c r="D946" s="547">
        <v>200</v>
      </c>
      <c r="E946" s="618">
        <v>75000</v>
      </c>
      <c r="F946" s="555">
        <v>15000000</v>
      </c>
    </row>
    <row r="947" spans="1:6" ht="31.5">
      <c r="A947" s="136">
        <v>27</v>
      </c>
      <c r="B947" s="573" t="s">
        <v>3821</v>
      </c>
      <c r="C947" s="545" t="s">
        <v>286</v>
      </c>
      <c r="D947" s="545">
        <v>80</v>
      </c>
      <c r="E947" s="617">
        <v>12500</v>
      </c>
      <c r="F947" s="556">
        <v>1000000</v>
      </c>
    </row>
    <row r="948" spans="1:6" ht="31.5">
      <c r="A948" s="136">
        <v>28</v>
      </c>
      <c r="B948" s="592" t="s">
        <v>3822</v>
      </c>
      <c r="C948" s="547" t="s">
        <v>286</v>
      </c>
      <c r="D948" s="547">
        <v>40</v>
      </c>
      <c r="E948" s="619">
        <v>7500</v>
      </c>
      <c r="F948" s="555">
        <v>300000</v>
      </c>
    </row>
    <row r="949" spans="1:6" ht="15.75">
      <c r="A949" s="136">
        <v>29</v>
      </c>
      <c r="B949" s="549" t="s">
        <v>3823</v>
      </c>
      <c r="C949" s="549" t="s">
        <v>286</v>
      </c>
      <c r="D949" s="550">
        <v>4</v>
      </c>
      <c r="E949" s="550">
        <v>300000</v>
      </c>
      <c r="F949" s="556">
        <v>1200000</v>
      </c>
    </row>
    <row r="950" spans="1:6" ht="31.5">
      <c r="A950" s="136">
        <v>30</v>
      </c>
      <c r="B950" s="543" t="s">
        <v>3824</v>
      </c>
      <c r="C950" s="543" t="s">
        <v>286</v>
      </c>
      <c r="D950" s="551">
        <v>5</v>
      </c>
      <c r="E950" s="551">
        <v>1000000</v>
      </c>
      <c r="F950" s="555">
        <v>5000000</v>
      </c>
    </row>
    <row r="951" spans="1:6" ht="15.75">
      <c r="A951" s="136">
        <v>31</v>
      </c>
      <c r="B951" s="549" t="s">
        <v>3823</v>
      </c>
      <c r="C951" s="549" t="s">
        <v>286</v>
      </c>
      <c r="D951" s="550">
        <v>4</v>
      </c>
      <c r="E951" s="550">
        <v>350000</v>
      </c>
      <c r="F951" s="556">
        <v>1400000</v>
      </c>
    </row>
    <row r="952" spans="1:6" ht="15.75">
      <c r="A952" s="136">
        <v>32</v>
      </c>
      <c r="B952" s="620" t="s">
        <v>3825</v>
      </c>
      <c r="C952" s="543" t="s">
        <v>286</v>
      </c>
      <c r="D952" s="551">
        <v>100</v>
      </c>
      <c r="E952" s="551">
        <v>7500</v>
      </c>
      <c r="F952" s="555">
        <v>750000</v>
      </c>
    </row>
    <row r="953" spans="1:6" ht="15.75">
      <c r="A953" s="136">
        <v>33</v>
      </c>
      <c r="B953" s="549" t="s">
        <v>3826</v>
      </c>
      <c r="C953" s="549" t="s">
        <v>27</v>
      </c>
      <c r="D953" s="550">
        <v>25</v>
      </c>
      <c r="E953" s="550">
        <v>40000</v>
      </c>
      <c r="F953" s="556">
        <v>1000000</v>
      </c>
    </row>
    <row r="954" spans="1:6" ht="15.75">
      <c r="A954" s="136">
        <v>34</v>
      </c>
      <c r="B954" s="620" t="s">
        <v>3827</v>
      </c>
      <c r="C954" s="543" t="s">
        <v>286</v>
      </c>
      <c r="D954" s="551">
        <v>2</v>
      </c>
      <c r="E954" s="551">
        <v>600000</v>
      </c>
      <c r="F954" s="555">
        <v>1200000</v>
      </c>
    </row>
    <row r="955" spans="1:6" ht="31.5">
      <c r="A955" s="136">
        <v>35</v>
      </c>
      <c r="B955" s="621" t="s">
        <v>3828</v>
      </c>
      <c r="C955" s="549" t="s">
        <v>432</v>
      </c>
      <c r="D955" s="550">
        <v>50</v>
      </c>
      <c r="E955" s="550">
        <v>15000</v>
      </c>
      <c r="F955" s="556">
        <v>750000</v>
      </c>
    </row>
    <row r="956" spans="1:6" ht="15.75">
      <c r="A956" s="136">
        <v>36</v>
      </c>
      <c r="B956" s="620" t="s">
        <v>3829</v>
      </c>
      <c r="C956" s="543" t="s">
        <v>286</v>
      </c>
      <c r="D956" s="551">
        <v>5</v>
      </c>
      <c r="E956" s="551">
        <v>280000</v>
      </c>
      <c r="F956" s="555">
        <v>1400000</v>
      </c>
    </row>
    <row r="957" spans="1:6" ht="15.75">
      <c r="A957" s="136">
        <v>37</v>
      </c>
      <c r="B957" s="622" t="s">
        <v>3830</v>
      </c>
      <c r="C957" s="549" t="s">
        <v>286</v>
      </c>
      <c r="D957" s="549">
        <v>100</v>
      </c>
      <c r="E957" s="623">
        <v>15000</v>
      </c>
      <c r="F957" s="556">
        <v>1500000</v>
      </c>
    </row>
    <row r="958" spans="1:6" ht="15.75">
      <c r="A958" s="136">
        <v>38</v>
      </c>
      <c r="B958" s="624" t="s">
        <v>3831</v>
      </c>
      <c r="C958" s="543" t="s">
        <v>286</v>
      </c>
      <c r="D958" s="543">
        <v>7</v>
      </c>
      <c r="E958" s="543">
        <v>350000</v>
      </c>
      <c r="F958" s="555">
        <v>2450000</v>
      </c>
    </row>
    <row r="959" spans="1:6" ht="31.5">
      <c r="A959" s="136">
        <v>39</v>
      </c>
      <c r="B959" s="622" t="s">
        <v>3832</v>
      </c>
      <c r="C959" s="549" t="s">
        <v>27</v>
      </c>
      <c r="D959" s="549">
        <v>150</v>
      </c>
      <c r="E959" s="623">
        <v>23000</v>
      </c>
      <c r="F959" s="556">
        <v>3450000</v>
      </c>
    </row>
    <row r="960" spans="1:6" ht="15.75">
      <c r="A960" s="136">
        <v>40</v>
      </c>
      <c r="B960" s="524" t="s">
        <v>3833</v>
      </c>
      <c r="C960" s="543" t="s">
        <v>286</v>
      </c>
      <c r="D960" s="543">
        <v>10</v>
      </c>
      <c r="E960" s="543">
        <v>48000</v>
      </c>
      <c r="F960" s="555">
        <v>480000</v>
      </c>
    </row>
    <row r="961" spans="1:6" ht="15.75">
      <c r="A961" s="136">
        <v>41</v>
      </c>
      <c r="B961" s="523" t="s">
        <v>3833</v>
      </c>
      <c r="C961" s="549" t="s">
        <v>286</v>
      </c>
      <c r="D961" s="549">
        <v>10</v>
      </c>
      <c r="E961" s="549">
        <v>48000</v>
      </c>
      <c r="F961" s="556">
        <v>480000</v>
      </c>
    </row>
    <row r="962" spans="1:6" ht="15.75">
      <c r="A962" s="136">
        <v>42</v>
      </c>
      <c r="B962" s="524" t="s">
        <v>3833</v>
      </c>
      <c r="C962" s="543" t="s">
        <v>286</v>
      </c>
      <c r="D962" s="543">
        <v>10</v>
      </c>
      <c r="E962" s="543">
        <v>48000</v>
      </c>
      <c r="F962" s="555">
        <v>480000</v>
      </c>
    </row>
    <row r="963" spans="1:6" ht="15.75">
      <c r="A963" s="136">
        <v>43</v>
      </c>
      <c r="B963" s="523" t="s">
        <v>3833</v>
      </c>
      <c r="C963" s="549" t="s">
        <v>286</v>
      </c>
      <c r="D963" s="549">
        <v>10</v>
      </c>
      <c r="E963" s="549">
        <v>48000</v>
      </c>
      <c r="F963" s="556">
        <v>480000</v>
      </c>
    </row>
    <row r="964" spans="1:6" ht="15.75">
      <c r="A964" s="136">
        <v>44</v>
      </c>
      <c r="B964" s="524" t="s">
        <v>3833</v>
      </c>
      <c r="C964" s="543" t="s">
        <v>286</v>
      </c>
      <c r="D964" s="543">
        <v>10</v>
      </c>
      <c r="E964" s="543">
        <v>48000</v>
      </c>
      <c r="F964" s="555">
        <v>480000</v>
      </c>
    </row>
    <row r="965" spans="1:6" ht="15.75">
      <c r="A965" s="136">
        <v>45</v>
      </c>
      <c r="B965" s="523" t="s">
        <v>3833</v>
      </c>
      <c r="C965" s="549" t="s">
        <v>286</v>
      </c>
      <c r="D965" s="549">
        <v>10</v>
      </c>
      <c r="E965" s="549">
        <v>48000</v>
      </c>
      <c r="F965" s="556">
        <v>480000</v>
      </c>
    </row>
    <row r="966" spans="1:6" ht="15.75">
      <c r="A966" s="136">
        <v>46</v>
      </c>
      <c r="B966" s="524" t="s">
        <v>3833</v>
      </c>
      <c r="C966" s="543" t="s">
        <v>286</v>
      </c>
      <c r="D966" s="543">
        <v>10</v>
      </c>
      <c r="E966" s="543">
        <v>48000</v>
      </c>
      <c r="F966" s="555">
        <v>480000</v>
      </c>
    </row>
    <row r="967" spans="1:6" ht="15.75">
      <c r="A967" s="136">
        <v>47</v>
      </c>
      <c r="B967" s="523" t="s">
        <v>3834</v>
      </c>
      <c r="C967" s="549" t="s">
        <v>286</v>
      </c>
      <c r="D967" s="549">
        <v>10</v>
      </c>
      <c r="E967" s="549">
        <v>85000</v>
      </c>
      <c r="F967" s="556">
        <v>850000</v>
      </c>
    </row>
    <row r="968" spans="1:6" ht="15.75">
      <c r="A968" s="136">
        <v>48</v>
      </c>
      <c r="B968" s="524" t="s">
        <v>3834</v>
      </c>
      <c r="C968" s="543" t="s">
        <v>286</v>
      </c>
      <c r="D968" s="543">
        <v>10</v>
      </c>
      <c r="E968" s="543">
        <v>85000</v>
      </c>
      <c r="F968" s="555">
        <v>850000</v>
      </c>
    </row>
    <row r="969" spans="1:6" ht="15.75">
      <c r="A969" s="136">
        <v>49</v>
      </c>
      <c r="B969" s="523" t="s">
        <v>3834</v>
      </c>
      <c r="C969" s="549" t="s">
        <v>286</v>
      </c>
      <c r="D969" s="549">
        <v>10</v>
      </c>
      <c r="E969" s="549">
        <v>85000</v>
      </c>
      <c r="F969" s="556">
        <v>850000</v>
      </c>
    </row>
    <row r="970" spans="1:6" ht="15.75">
      <c r="A970" s="136">
        <v>50</v>
      </c>
      <c r="B970" s="524" t="s">
        <v>3834</v>
      </c>
      <c r="C970" s="543" t="s">
        <v>286</v>
      </c>
      <c r="D970" s="543">
        <v>10</v>
      </c>
      <c r="E970" s="543">
        <v>85000</v>
      </c>
      <c r="F970" s="555">
        <v>850000</v>
      </c>
    </row>
    <row r="971" spans="1:6" ht="15.75">
      <c r="A971" s="136">
        <v>51</v>
      </c>
      <c r="B971" s="523" t="s">
        <v>3834</v>
      </c>
      <c r="C971" s="549" t="s">
        <v>286</v>
      </c>
      <c r="D971" s="549">
        <v>10</v>
      </c>
      <c r="E971" s="549">
        <v>85000</v>
      </c>
      <c r="F971" s="556">
        <v>850000</v>
      </c>
    </row>
    <row r="972" spans="1:6" ht="15.75">
      <c r="A972" s="136">
        <v>52</v>
      </c>
      <c r="B972" s="524" t="s">
        <v>3834</v>
      </c>
      <c r="C972" s="543" t="s">
        <v>286</v>
      </c>
      <c r="D972" s="543">
        <v>10</v>
      </c>
      <c r="E972" s="543">
        <v>85000</v>
      </c>
      <c r="F972" s="555">
        <v>850000</v>
      </c>
    </row>
    <row r="973" spans="1:6" ht="15.75">
      <c r="A973" s="136">
        <v>53</v>
      </c>
      <c r="B973" s="523" t="s">
        <v>3834</v>
      </c>
      <c r="C973" s="549" t="s">
        <v>286</v>
      </c>
      <c r="D973" s="549">
        <v>10</v>
      </c>
      <c r="E973" s="549">
        <v>85000</v>
      </c>
      <c r="F973" s="556">
        <v>850000</v>
      </c>
    </row>
    <row r="974" spans="1:6" ht="15.75">
      <c r="A974" s="136">
        <v>54</v>
      </c>
      <c r="B974" s="524" t="s">
        <v>3835</v>
      </c>
      <c r="C974" s="543" t="s">
        <v>286</v>
      </c>
      <c r="D974" s="543">
        <v>10</v>
      </c>
      <c r="E974" s="543">
        <v>85000</v>
      </c>
      <c r="F974" s="555">
        <v>850000</v>
      </c>
    </row>
    <row r="975" spans="1:6" ht="15.75">
      <c r="A975" s="136">
        <v>55</v>
      </c>
      <c r="B975" s="523" t="s">
        <v>3835</v>
      </c>
      <c r="C975" s="549" t="s">
        <v>286</v>
      </c>
      <c r="D975" s="549">
        <v>10</v>
      </c>
      <c r="E975" s="549">
        <v>85000</v>
      </c>
      <c r="F975" s="556">
        <v>850000</v>
      </c>
    </row>
    <row r="976" spans="1:6" ht="15.75">
      <c r="A976" s="136">
        <v>56</v>
      </c>
      <c r="B976" s="524" t="s">
        <v>3835</v>
      </c>
      <c r="C976" s="543" t="s">
        <v>286</v>
      </c>
      <c r="D976" s="543">
        <v>10</v>
      </c>
      <c r="E976" s="543">
        <v>85000</v>
      </c>
      <c r="F976" s="555">
        <v>850000</v>
      </c>
    </row>
    <row r="977" spans="1:6" ht="15.75">
      <c r="A977" s="136">
        <v>57</v>
      </c>
      <c r="B977" s="523" t="s">
        <v>3835</v>
      </c>
      <c r="C977" s="549" t="s">
        <v>286</v>
      </c>
      <c r="D977" s="549">
        <v>10</v>
      </c>
      <c r="E977" s="549">
        <v>85000</v>
      </c>
      <c r="F977" s="556">
        <v>850000</v>
      </c>
    </row>
    <row r="978" spans="1:6" ht="15.75">
      <c r="A978" s="136">
        <v>58</v>
      </c>
      <c r="B978" s="524" t="s">
        <v>3835</v>
      </c>
      <c r="C978" s="543" t="s">
        <v>286</v>
      </c>
      <c r="D978" s="543">
        <v>10</v>
      </c>
      <c r="E978" s="543">
        <v>85000</v>
      </c>
      <c r="F978" s="555">
        <v>850000</v>
      </c>
    </row>
    <row r="979" spans="1:6" ht="15.75">
      <c r="A979" s="136">
        <v>59</v>
      </c>
      <c r="B979" s="523" t="s">
        <v>3835</v>
      </c>
      <c r="C979" s="549" t="s">
        <v>286</v>
      </c>
      <c r="D979" s="549">
        <v>10</v>
      </c>
      <c r="E979" s="549">
        <v>85000</v>
      </c>
      <c r="F979" s="556">
        <v>850000</v>
      </c>
    </row>
    <row r="980" spans="1:6" ht="15.75">
      <c r="A980" s="136">
        <v>60</v>
      </c>
      <c r="B980" s="524" t="s">
        <v>3835</v>
      </c>
      <c r="C980" s="543" t="s">
        <v>286</v>
      </c>
      <c r="D980" s="543">
        <v>10</v>
      </c>
      <c r="E980" s="543">
        <v>85000</v>
      </c>
      <c r="F980" s="555">
        <v>850000</v>
      </c>
    </row>
    <row r="981" spans="1:6" ht="15.75">
      <c r="A981" s="136">
        <v>61</v>
      </c>
      <c r="B981" s="523" t="s">
        <v>3836</v>
      </c>
      <c r="C981" s="523" t="s">
        <v>27</v>
      </c>
      <c r="D981" s="523">
        <v>100</v>
      </c>
      <c r="E981" s="523">
        <v>20000</v>
      </c>
      <c r="F981" s="556">
        <v>2000000</v>
      </c>
    </row>
    <row r="982" spans="1:6" ht="15.75">
      <c r="A982" s="136">
        <v>62</v>
      </c>
      <c r="B982" s="524" t="s">
        <v>3837</v>
      </c>
      <c r="C982" s="524" t="s">
        <v>286</v>
      </c>
      <c r="D982" s="524">
        <v>2</v>
      </c>
      <c r="E982" s="555">
        <v>700000</v>
      </c>
      <c r="F982" s="555">
        <v>1400000</v>
      </c>
    </row>
    <row r="983" spans="1:6" ht="15.75">
      <c r="A983" s="136">
        <v>63</v>
      </c>
      <c r="B983" s="523" t="s">
        <v>3838</v>
      </c>
      <c r="C983" s="523" t="s">
        <v>286</v>
      </c>
      <c r="D983" s="523">
        <v>20</v>
      </c>
      <c r="E983" s="556">
        <v>42000</v>
      </c>
      <c r="F983" s="556">
        <v>840000</v>
      </c>
    </row>
    <row r="984" spans="1:6" ht="15.75">
      <c r="A984" s="136">
        <v>64</v>
      </c>
      <c r="B984" s="524" t="s">
        <v>3839</v>
      </c>
      <c r="C984" s="524" t="s">
        <v>286</v>
      </c>
      <c r="D984" s="524">
        <v>15</v>
      </c>
      <c r="E984" s="555">
        <v>42000</v>
      </c>
      <c r="F984" s="555">
        <v>630000</v>
      </c>
    </row>
    <row r="985" spans="1:6" ht="15.75">
      <c r="A985" s="136">
        <v>65</v>
      </c>
      <c r="B985" s="523" t="s">
        <v>3840</v>
      </c>
      <c r="C985" s="523" t="s">
        <v>286</v>
      </c>
      <c r="D985" s="523">
        <v>20</v>
      </c>
      <c r="E985" s="556">
        <v>60000</v>
      </c>
      <c r="F985" s="556">
        <v>1200000</v>
      </c>
    </row>
    <row r="986" spans="1:6" ht="15.75">
      <c r="A986" s="136">
        <v>66</v>
      </c>
      <c r="B986" s="524" t="s">
        <v>3841</v>
      </c>
      <c r="C986" s="524" t="s">
        <v>286</v>
      </c>
      <c r="D986" s="524">
        <v>15</v>
      </c>
      <c r="E986" s="555">
        <v>42000</v>
      </c>
      <c r="F986" s="555">
        <v>630000</v>
      </c>
    </row>
    <row r="987" spans="1:6" ht="31.5">
      <c r="A987" s="136">
        <v>67</v>
      </c>
      <c r="B987" s="625" t="s">
        <v>3842</v>
      </c>
      <c r="C987" s="523" t="s">
        <v>286</v>
      </c>
      <c r="D987" s="523">
        <v>15</v>
      </c>
      <c r="E987" s="556">
        <v>38000</v>
      </c>
      <c r="F987" s="556">
        <v>570000</v>
      </c>
    </row>
    <row r="988" spans="1:6" ht="15.75">
      <c r="A988" s="136">
        <v>68</v>
      </c>
      <c r="B988" s="524" t="s">
        <v>3843</v>
      </c>
      <c r="C988" s="524" t="s">
        <v>286</v>
      </c>
      <c r="D988" s="524">
        <v>2</v>
      </c>
      <c r="E988" s="555">
        <v>450000</v>
      </c>
      <c r="F988" s="555">
        <v>900000</v>
      </c>
    </row>
    <row r="989" spans="1:6" ht="15.75">
      <c r="A989" s="136">
        <v>69</v>
      </c>
      <c r="B989" s="523" t="s">
        <v>2169</v>
      </c>
      <c r="C989" s="523" t="s">
        <v>286</v>
      </c>
      <c r="D989" s="523">
        <v>100</v>
      </c>
      <c r="E989" s="556">
        <v>8300</v>
      </c>
      <c r="F989" s="556">
        <v>830000</v>
      </c>
    </row>
    <row r="990" spans="1:6" ht="15.75">
      <c r="A990" s="136">
        <v>70</v>
      </c>
      <c r="B990" s="524" t="s">
        <v>3844</v>
      </c>
      <c r="C990" s="524"/>
      <c r="D990" s="524"/>
      <c r="E990" s="555"/>
      <c r="F990" s="555">
        <v>0</v>
      </c>
    </row>
    <row r="991" spans="1:6" ht="15.75">
      <c r="A991" s="136">
        <v>71</v>
      </c>
      <c r="B991" s="523" t="s">
        <v>3845</v>
      </c>
      <c r="C991" s="523" t="s">
        <v>791</v>
      </c>
      <c r="D991" s="523">
        <v>1</v>
      </c>
      <c r="E991" s="556">
        <v>2800000</v>
      </c>
      <c r="F991" s="556">
        <v>2800000</v>
      </c>
    </row>
    <row r="992" spans="1:6" ht="15.75">
      <c r="A992" s="136">
        <v>72</v>
      </c>
      <c r="B992" s="524" t="s">
        <v>3837</v>
      </c>
      <c r="C992" s="524" t="s">
        <v>286</v>
      </c>
      <c r="D992" s="524">
        <v>2</v>
      </c>
      <c r="E992" s="540">
        <v>1600000</v>
      </c>
      <c r="F992" s="555">
        <v>3200000</v>
      </c>
    </row>
    <row r="993" spans="1:6" ht="15.75">
      <c r="A993" s="136">
        <v>73</v>
      </c>
      <c r="B993" s="523" t="s">
        <v>3838</v>
      </c>
      <c r="C993" s="523" t="s">
        <v>286</v>
      </c>
      <c r="D993" s="523">
        <v>20</v>
      </c>
      <c r="E993" s="538">
        <v>42000</v>
      </c>
      <c r="F993" s="556">
        <v>840000</v>
      </c>
    </row>
    <row r="994" spans="1:6" ht="15.75">
      <c r="A994" s="136">
        <v>74</v>
      </c>
      <c r="B994" s="524" t="s">
        <v>3839</v>
      </c>
      <c r="C994" s="524" t="s">
        <v>286</v>
      </c>
      <c r="D994" s="524">
        <v>15</v>
      </c>
      <c r="E994" s="540">
        <v>42000</v>
      </c>
      <c r="F994" s="555">
        <v>630000</v>
      </c>
    </row>
    <row r="995" spans="1:6" ht="15.75">
      <c r="A995" s="136">
        <v>75</v>
      </c>
      <c r="B995" s="523" t="s">
        <v>3840</v>
      </c>
      <c r="C995" s="523" t="s">
        <v>286</v>
      </c>
      <c r="D995" s="523">
        <v>20</v>
      </c>
      <c r="E995" s="538">
        <v>60000</v>
      </c>
      <c r="F995" s="556">
        <v>1200000</v>
      </c>
    </row>
    <row r="996" spans="1:6" ht="15.75">
      <c r="A996" s="136">
        <v>76</v>
      </c>
      <c r="B996" s="524" t="s">
        <v>3841</v>
      </c>
      <c r="C996" s="524" t="s">
        <v>286</v>
      </c>
      <c r="D996" s="524">
        <v>15</v>
      </c>
      <c r="E996" s="540">
        <v>42000</v>
      </c>
      <c r="F996" s="555">
        <v>630000</v>
      </c>
    </row>
    <row r="997" spans="1:6" ht="31.5">
      <c r="A997" s="136">
        <v>77</v>
      </c>
      <c r="B997" s="625" t="s">
        <v>3842</v>
      </c>
      <c r="C997" s="523" t="s">
        <v>286</v>
      </c>
      <c r="D997" s="523">
        <v>15</v>
      </c>
      <c r="E997" s="538">
        <v>38000</v>
      </c>
      <c r="F997" s="556">
        <v>570000</v>
      </c>
    </row>
    <row r="998" spans="1:6" ht="15.75">
      <c r="A998" s="136">
        <v>78</v>
      </c>
      <c r="B998" s="524" t="s">
        <v>3843</v>
      </c>
      <c r="C998" s="524" t="s">
        <v>286</v>
      </c>
      <c r="D998" s="524">
        <v>2</v>
      </c>
      <c r="E998" s="540">
        <v>300000</v>
      </c>
      <c r="F998" s="555">
        <v>600000</v>
      </c>
    </row>
    <row r="999" spans="1:6" ht="15.75">
      <c r="A999" s="136">
        <v>79</v>
      </c>
      <c r="B999" s="523" t="s">
        <v>2169</v>
      </c>
      <c r="C999" s="523" t="s">
        <v>286</v>
      </c>
      <c r="D999" s="523">
        <v>100</v>
      </c>
      <c r="E999" s="538">
        <v>8300</v>
      </c>
      <c r="F999" s="556">
        <v>830000</v>
      </c>
    </row>
    <row r="1000" spans="1:6" ht="15.75">
      <c r="A1000" s="136">
        <v>80</v>
      </c>
      <c r="B1000" s="524" t="s">
        <v>3844</v>
      </c>
      <c r="C1000" s="524"/>
      <c r="D1000" s="524"/>
      <c r="E1000" s="555"/>
      <c r="F1000" s="555">
        <v>0</v>
      </c>
    </row>
    <row r="1001" spans="1:6" ht="15.75">
      <c r="A1001" s="136">
        <v>81</v>
      </c>
      <c r="B1001" s="523" t="s">
        <v>3845</v>
      </c>
      <c r="C1001" s="523" t="s">
        <v>791</v>
      </c>
      <c r="D1001" s="523">
        <v>1</v>
      </c>
      <c r="E1001" s="538">
        <v>2500000</v>
      </c>
      <c r="F1001" s="556">
        <v>2500000</v>
      </c>
    </row>
    <row r="1002" spans="1:6" ht="15.75">
      <c r="A1002" s="136">
        <v>82</v>
      </c>
      <c r="B1002" s="524" t="s">
        <v>3846</v>
      </c>
      <c r="C1002" s="524" t="s">
        <v>791</v>
      </c>
      <c r="D1002" s="524">
        <v>1</v>
      </c>
      <c r="E1002" s="540">
        <v>3000000</v>
      </c>
      <c r="F1002" s="555">
        <v>3000000</v>
      </c>
    </row>
    <row r="1003" spans="1:6" ht="15.75">
      <c r="A1003" s="136">
        <v>83</v>
      </c>
      <c r="B1003" s="523" t="s">
        <v>3847</v>
      </c>
      <c r="C1003" s="625" t="s">
        <v>286</v>
      </c>
      <c r="D1003" s="523">
        <v>2</v>
      </c>
      <c r="E1003" s="538">
        <v>2800000</v>
      </c>
      <c r="F1003" s="556">
        <v>5600000</v>
      </c>
    </row>
    <row r="1004" spans="1:6" ht="15.75">
      <c r="A1004" s="136">
        <v>84</v>
      </c>
      <c r="B1004" s="524" t="s">
        <v>3848</v>
      </c>
      <c r="C1004" s="524" t="s">
        <v>286</v>
      </c>
      <c r="D1004" s="524">
        <v>100</v>
      </c>
      <c r="E1004" s="533">
        <v>5000</v>
      </c>
      <c r="F1004" s="555">
        <v>500000</v>
      </c>
    </row>
    <row r="1005" spans="1:6" ht="15.75">
      <c r="A1005" s="136">
        <v>85</v>
      </c>
      <c r="B1005" s="523" t="s">
        <v>3849</v>
      </c>
      <c r="C1005" s="523" t="s">
        <v>286</v>
      </c>
      <c r="D1005" s="523">
        <v>20</v>
      </c>
      <c r="E1005" s="534">
        <v>40000</v>
      </c>
      <c r="F1005" s="556">
        <v>800000</v>
      </c>
    </row>
    <row r="1006" spans="1:6" ht="15.75">
      <c r="A1006" s="136">
        <v>86</v>
      </c>
      <c r="B1006" s="524" t="s">
        <v>3850</v>
      </c>
      <c r="C1006" s="524" t="s">
        <v>286</v>
      </c>
      <c r="D1006" s="524">
        <v>4</v>
      </c>
      <c r="E1006" s="533">
        <v>50000</v>
      </c>
      <c r="F1006" s="555">
        <v>200000</v>
      </c>
    </row>
    <row r="1007" spans="1:6" ht="15.75">
      <c r="A1007" s="136">
        <v>87</v>
      </c>
      <c r="B1007" s="523" t="s">
        <v>3851</v>
      </c>
      <c r="C1007" s="549" t="s">
        <v>286</v>
      </c>
      <c r="D1007" s="626">
        <v>10</v>
      </c>
      <c r="E1007" s="562">
        <v>75000</v>
      </c>
      <c r="F1007" s="556">
        <v>750000</v>
      </c>
    </row>
    <row r="1008" spans="1:6" ht="15.75">
      <c r="A1008" s="136">
        <v>88</v>
      </c>
      <c r="B1008" s="524" t="s">
        <v>3852</v>
      </c>
      <c r="C1008" s="543" t="s">
        <v>286</v>
      </c>
      <c r="D1008" s="612">
        <v>15</v>
      </c>
      <c r="E1008" s="563">
        <v>85000</v>
      </c>
      <c r="F1008" s="555">
        <v>1275000</v>
      </c>
    </row>
    <row r="1009" spans="1:6" ht="15.75">
      <c r="A1009" s="136">
        <v>89</v>
      </c>
      <c r="B1009" s="523" t="s">
        <v>3853</v>
      </c>
      <c r="C1009" s="549" t="s">
        <v>286</v>
      </c>
      <c r="D1009" s="626">
        <v>10</v>
      </c>
      <c r="E1009" s="562">
        <v>120000</v>
      </c>
      <c r="F1009" s="556">
        <v>1200000</v>
      </c>
    </row>
    <row r="1010" spans="1:6" ht="15.75">
      <c r="A1010" s="136">
        <v>90</v>
      </c>
      <c r="B1010" s="524" t="s">
        <v>3854</v>
      </c>
      <c r="C1010" s="524" t="s">
        <v>278</v>
      </c>
      <c r="D1010" s="524">
        <v>1</v>
      </c>
      <c r="E1010" s="524">
        <v>2450000</v>
      </c>
      <c r="F1010" s="555">
        <v>2450000</v>
      </c>
    </row>
    <row r="1011" spans="1:6" ht="15.75">
      <c r="A1011" s="136">
        <v>91</v>
      </c>
      <c r="B1011" s="523" t="s">
        <v>3855</v>
      </c>
      <c r="C1011" s="549" t="s">
        <v>286</v>
      </c>
      <c r="D1011" s="523">
        <v>2</v>
      </c>
      <c r="E1011" s="534">
        <v>430000</v>
      </c>
      <c r="F1011" s="556">
        <v>860000</v>
      </c>
    </row>
    <row r="1012" spans="1:6" ht="15.75">
      <c r="A1012" s="136">
        <v>92</v>
      </c>
      <c r="B1012" s="524" t="s">
        <v>3856</v>
      </c>
      <c r="C1012" s="543" t="s">
        <v>286</v>
      </c>
      <c r="D1012" s="524">
        <v>3</v>
      </c>
      <c r="E1012" s="524">
        <v>120000</v>
      </c>
      <c r="F1012" s="555">
        <v>360000</v>
      </c>
    </row>
    <row r="1013" spans="1:6" ht="15.75">
      <c r="A1013" s="136">
        <v>93</v>
      </c>
      <c r="B1013" s="627" t="s">
        <v>3857</v>
      </c>
      <c r="C1013" s="549" t="s">
        <v>286</v>
      </c>
      <c r="D1013" s="523">
        <v>10</v>
      </c>
      <c r="E1013" s="628">
        <v>15000</v>
      </c>
      <c r="F1013" s="556">
        <v>150000</v>
      </c>
    </row>
    <row r="1014" spans="1:6" ht="15.75">
      <c r="A1014" s="136">
        <v>94</v>
      </c>
      <c r="B1014" s="629" t="s">
        <v>3858</v>
      </c>
      <c r="C1014" s="543" t="s">
        <v>286</v>
      </c>
      <c r="D1014" s="524">
        <v>10</v>
      </c>
      <c r="E1014" s="630">
        <v>18000</v>
      </c>
      <c r="F1014" s="555">
        <v>180000</v>
      </c>
    </row>
    <row r="1015" spans="1:6" ht="15.75">
      <c r="A1015" s="136">
        <v>95</v>
      </c>
      <c r="B1015" s="627" t="s">
        <v>3859</v>
      </c>
      <c r="C1015" s="549" t="s">
        <v>286</v>
      </c>
      <c r="D1015" s="523">
        <v>10</v>
      </c>
      <c r="E1015" s="628">
        <v>20000</v>
      </c>
      <c r="F1015" s="556">
        <v>200000</v>
      </c>
    </row>
    <row r="1016" spans="1:6" ht="15.75">
      <c r="A1016" s="136">
        <v>96</v>
      </c>
      <c r="B1016" s="629" t="s">
        <v>3860</v>
      </c>
      <c r="C1016" s="543" t="s">
        <v>286</v>
      </c>
      <c r="D1016" s="524">
        <v>10</v>
      </c>
      <c r="E1016" s="630">
        <v>20000</v>
      </c>
      <c r="F1016" s="555">
        <v>200000</v>
      </c>
    </row>
    <row r="1017" spans="1:6" ht="15.75">
      <c r="A1017" s="136">
        <v>97</v>
      </c>
      <c r="B1017" s="627" t="s">
        <v>3861</v>
      </c>
      <c r="C1017" s="549" t="s">
        <v>286</v>
      </c>
      <c r="D1017" s="523">
        <v>10</v>
      </c>
      <c r="E1017" s="628">
        <v>20000</v>
      </c>
      <c r="F1017" s="556">
        <v>200000</v>
      </c>
    </row>
    <row r="1018" spans="1:6" ht="15.75">
      <c r="A1018" s="136">
        <v>98</v>
      </c>
      <c r="B1018" s="629" t="s">
        <v>3862</v>
      </c>
      <c r="C1018" s="543" t="s">
        <v>286</v>
      </c>
      <c r="D1018" s="524">
        <v>10</v>
      </c>
      <c r="E1018" s="630">
        <v>20000</v>
      </c>
      <c r="F1018" s="555">
        <v>200000</v>
      </c>
    </row>
    <row r="1019" spans="1:6" ht="15.75">
      <c r="A1019" s="136">
        <v>99</v>
      </c>
      <c r="B1019" s="627" t="s">
        <v>3863</v>
      </c>
      <c r="C1019" s="549" t="s">
        <v>286</v>
      </c>
      <c r="D1019" s="523">
        <v>5</v>
      </c>
      <c r="E1019" s="628">
        <v>50000</v>
      </c>
      <c r="F1019" s="556">
        <v>250000</v>
      </c>
    </row>
    <row r="1020" spans="1:6" ht="15.75">
      <c r="A1020" s="136">
        <v>100</v>
      </c>
      <c r="B1020" s="629" t="s">
        <v>3864</v>
      </c>
      <c r="C1020" s="543" t="s">
        <v>286</v>
      </c>
      <c r="D1020" s="524">
        <v>5</v>
      </c>
      <c r="E1020" s="630">
        <v>50000</v>
      </c>
      <c r="F1020" s="555">
        <v>250000</v>
      </c>
    </row>
    <row r="1021" spans="1:6" ht="15.75">
      <c r="A1021" s="136">
        <v>101</v>
      </c>
      <c r="B1021" s="627" t="s">
        <v>3865</v>
      </c>
      <c r="C1021" s="549" t="s">
        <v>286</v>
      </c>
      <c r="D1021" s="523">
        <v>5</v>
      </c>
      <c r="E1021" s="628">
        <v>50000</v>
      </c>
      <c r="F1021" s="556">
        <v>250000</v>
      </c>
    </row>
    <row r="1022" spans="1:6" ht="15.75">
      <c r="A1022" s="136">
        <v>102</v>
      </c>
      <c r="B1022" s="629" t="s">
        <v>3866</v>
      </c>
      <c r="C1022" s="543" t="s">
        <v>286</v>
      </c>
      <c r="D1022" s="524">
        <v>5</v>
      </c>
      <c r="E1022" s="630">
        <v>50000</v>
      </c>
      <c r="F1022" s="555">
        <v>250000</v>
      </c>
    </row>
    <row r="1023" spans="1:6" ht="15.75">
      <c r="A1023" s="136">
        <v>103</v>
      </c>
      <c r="B1023" s="523" t="s">
        <v>3851</v>
      </c>
      <c r="C1023" s="549" t="s">
        <v>286</v>
      </c>
      <c r="D1023" s="626">
        <v>10</v>
      </c>
      <c r="E1023" s="562">
        <v>85000</v>
      </c>
      <c r="F1023" s="556">
        <v>850000</v>
      </c>
    </row>
    <row r="1024" spans="1:6" ht="15.75">
      <c r="A1024" s="136">
        <v>104</v>
      </c>
      <c r="B1024" s="524" t="s">
        <v>3852</v>
      </c>
      <c r="C1024" s="543" t="s">
        <v>286</v>
      </c>
      <c r="D1024" s="612">
        <v>15</v>
      </c>
      <c r="E1024" s="563">
        <v>85000</v>
      </c>
      <c r="F1024" s="555">
        <v>1275000</v>
      </c>
    </row>
    <row r="1025" spans="1:6" ht="15.75">
      <c r="A1025" s="136">
        <v>105</v>
      </c>
      <c r="B1025" s="523" t="s">
        <v>3853</v>
      </c>
      <c r="C1025" s="549" t="s">
        <v>286</v>
      </c>
      <c r="D1025" s="626">
        <v>10</v>
      </c>
      <c r="E1025" s="562">
        <v>110000</v>
      </c>
      <c r="F1025" s="556">
        <v>1100000</v>
      </c>
    </row>
    <row r="1026" spans="1:6" ht="15.75">
      <c r="A1026" s="136">
        <v>106</v>
      </c>
      <c r="B1026" s="631" t="s">
        <v>3867</v>
      </c>
      <c r="C1026" s="543" t="s">
        <v>286</v>
      </c>
      <c r="D1026" s="524">
        <v>2</v>
      </c>
      <c r="E1026" s="630">
        <v>25000</v>
      </c>
      <c r="F1026" s="555">
        <v>50000</v>
      </c>
    </row>
    <row r="1027" spans="1:6" ht="15.75">
      <c r="A1027" s="136">
        <v>107</v>
      </c>
      <c r="B1027" s="632" t="s">
        <v>3867</v>
      </c>
      <c r="C1027" s="549" t="s">
        <v>286</v>
      </c>
      <c r="D1027" s="523">
        <v>2</v>
      </c>
      <c r="E1027" s="628">
        <v>75000</v>
      </c>
      <c r="F1027" s="556">
        <v>150000</v>
      </c>
    </row>
    <row r="1028" spans="1:6" ht="15.75">
      <c r="A1028" s="136">
        <v>108</v>
      </c>
      <c r="B1028" s="631" t="s">
        <v>3867</v>
      </c>
      <c r="C1028" s="543" t="s">
        <v>286</v>
      </c>
      <c r="D1028" s="524">
        <v>2</v>
      </c>
      <c r="E1028" s="630">
        <v>75000</v>
      </c>
      <c r="F1028" s="555">
        <v>150000</v>
      </c>
    </row>
    <row r="1029" spans="1:6" ht="15.75">
      <c r="A1029" s="136">
        <v>109</v>
      </c>
      <c r="B1029" s="632" t="s">
        <v>3867</v>
      </c>
      <c r="C1029" s="549" t="s">
        <v>286</v>
      </c>
      <c r="D1029" s="523">
        <v>2</v>
      </c>
      <c r="E1029" s="628">
        <v>75000</v>
      </c>
      <c r="F1029" s="556">
        <v>150000</v>
      </c>
    </row>
    <row r="1030" spans="1:6" ht="15.75">
      <c r="A1030" s="136">
        <v>110</v>
      </c>
      <c r="B1030" s="631" t="s">
        <v>3867</v>
      </c>
      <c r="C1030" s="543" t="s">
        <v>286</v>
      </c>
      <c r="D1030" s="524">
        <v>1</v>
      </c>
      <c r="E1030" s="630">
        <v>75000</v>
      </c>
      <c r="F1030" s="555">
        <v>75000</v>
      </c>
    </row>
    <row r="1031" spans="1:6" ht="31.5">
      <c r="A1031" s="136">
        <v>111</v>
      </c>
      <c r="B1031" s="549" t="s">
        <v>3868</v>
      </c>
      <c r="C1031" s="570" t="s">
        <v>432</v>
      </c>
      <c r="D1031" s="523">
        <v>70</v>
      </c>
      <c r="E1031" s="556">
        <v>20000</v>
      </c>
      <c r="F1031" s="556">
        <v>1400000</v>
      </c>
    </row>
    <row r="1032" spans="1:6" ht="15.75">
      <c r="A1032" s="136">
        <v>112</v>
      </c>
      <c r="B1032" s="524" t="s">
        <v>3869</v>
      </c>
      <c r="C1032" s="583" t="s">
        <v>27</v>
      </c>
      <c r="D1032" s="524">
        <v>200</v>
      </c>
      <c r="E1032" s="555">
        <v>30000</v>
      </c>
      <c r="F1032" s="555">
        <v>6000000</v>
      </c>
    </row>
    <row r="1033" spans="1:6" ht="31.5">
      <c r="A1033" s="136">
        <v>113</v>
      </c>
      <c r="B1033" s="523" t="s">
        <v>3870</v>
      </c>
      <c r="C1033" s="549" t="s">
        <v>286</v>
      </c>
      <c r="D1033" s="523">
        <v>2</v>
      </c>
      <c r="E1033" s="556">
        <v>550000</v>
      </c>
      <c r="F1033" s="556">
        <v>1100000</v>
      </c>
    </row>
    <row r="1034" spans="1:6" ht="31.5">
      <c r="A1034" s="136">
        <v>114</v>
      </c>
      <c r="B1034" s="524" t="s">
        <v>3871</v>
      </c>
      <c r="C1034" s="583" t="s">
        <v>314</v>
      </c>
      <c r="D1034" s="524">
        <v>1</v>
      </c>
      <c r="E1034" s="563">
        <v>800000</v>
      </c>
      <c r="F1034" s="555">
        <v>800000</v>
      </c>
    </row>
    <row r="1035" spans="1:6" ht="15.75">
      <c r="A1035" s="136">
        <v>115</v>
      </c>
      <c r="B1035" s="523" t="s">
        <v>3872</v>
      </c>
      <c r="C1035" s="570" t="s">
        <v>314</v>
      </c>
      <c r="D1035" s="523">
        <v>1</v>
      </c>
      <c r="E1035" s="562">
        <v>700000</v>
      </c>
      <c r="F1035" s="556">
        <v>700000</v>
      </c>
    </row>
    <row r="1036" spans="1:6" ht="15.75">
      <c r="A1036" s="136">
        <v>116</v>
      </c>
      <c r="B1036" s="543" t="s">
        <v>3873</v>
      </c>
      <c r="C1036" s="524" t="s">
        <v>27</v>
      </c>
      <c r="D1036" s="543">
        <v>100</v>
      </c>
      <c r="E1036" s="612">
        <v>25000</v>
      </c>
      <c r="F1036" s="555">
        <v>2500000</v>
      </c>
    </row>
    <row r="1037" spans="1:6" ht="15.75">
      <c r="A1037" s="136">
        <v>117</v>
      </c>
      <c r="B1037" s="549" t="s">
        <v>3874</v>
      </c>
      <c r="C1037" s="570" t="s">
        <v>286</v>
      </c>
      <c r="D1037" s="549">
        <v>2</v>
      </c>
      <c r="E1037" s="626">
        <v>400000</v>
      </c>
      <c r="F1037" s="556">
        <v>800000</v>
      </c>
    </row>
    <row r="1038" spans="1:6" ht="15.75">
      <c r="A1038" s="136">
        <v>118</v>
      </c>
      <c r="B1038" s="543" t="s">
        <v>3875</v>
      </c>
      <c r="C1038" s="547" t="s">
        <v>27</v>
      </c>
      <c r="D1038" s="543">
        <v>10</v>
      </c>
      <c r="E1038" s="612">
        <v>1300000</v>
      </c>
      <c r="F1038" s="555">
        <v>13000000</v>
      </c>
    </row>
    <row r="1039" spans="1:6">
      <c r="A1039" s="136"/>
      <c r="B1039" s="1255" t="s">
        <v>3997</v>
      </c>
      <c r="C1039" s="1255"/>
      <c r="D1039" s="1255"/>
      <c r="E1039" s="1255"/>
      <c r="F1039" s="1255"/>
    </row>
    <row r="1040" spans="1:6" ht="15.75">
      <c r="A1040" s="136">
        <v>1</v>
      </c>
      <c r="B1040" s="573" t="s">
        <v>3877</v>
      </c>
      <c r="C1040" s="545" t="s">
        <v>286</v>
      </c>
      <c r="D1040" s="633">
        <v>20</v>
      </c>
      <c r="E1040" s="527">
        <v>15000</v>
      </c>
      <c r="F1040" s="556">
        <v>300000</v>
      </c>
    </row>
    <row r="1041" spans="1:6" ht="31.5">
      <c r="A1041" s="136">
        <v>2</v>
      </c>
      <c r="B1041" s="547" t="s">
        <v>3878</v>
      </c>
      <c r="C1041" s="547" t="s">
        <v>286</v>
      </c>
      <c r="D1041" s="547">
        <v>11</v>
      </c>
      <c r="E1041" s="526">
        <v>51000</v>
      </c>
      <c r="F1041" s="555">
        <v>561000</v>
      </c>
    </row>
    <row r="1042" spans="1:6" ht="15.75">
      <c r="A1042" s="136">
        <v>3</v>
      </c>
      <c r="B1042" s="527" t="s">
        <v>3879</v>
      </c>
      <c r="C1042" s="545" t="s">
        <v>286</v>
      </c>
      <c r="D1042" s="546">
        <v>50</v>
      </c>
      <c r="E1042" s="527">
        <v>2500</v>
      </c>
      <c r="F1042" s="556">
        <v>125000</v>
      </c>
    </row>
    <row r="1043" spans="1:6" ht="15.75">
      <c r="A1043" s="136">
        <v>4</v>
      </c>
      <c r="B1043" s="528" t="s">
        <v>3880</v>
      </c>
      <c r="C1043" s="528" t="s">
        <v>286</v>
      </c>
      <c r="D1043" s="539">
        <v>200</v>
      </c>
      <c r="E1043" s="540">
        <v>2500</v>
      </c>
      <c r="F1043" s="555">
        <v>500000</v>
      </c>
    </row>
    <row r="1044" spans="1:6" ht="15.75">
      <c r="A1044" s="136">
        <v>5</v>
      </c>
      <c r="B1044" s="525" t="s">
        <v>3881</v>
      </c>
      <c r="C1044" s="525" t="s">
        <v>286</v>
      </c>
      <c r="D1044" s="537">
        <v>50</v>
      </c>
      <c r="E1044" s="538">
        <v>13400</v>
      </c>
      <c r="F1044" s="556">
        <v>670000</v>
      </c>
    </row>
    <row r="1045" spans="1:6" ht="15.75">
      <c r="A1045" s="136">
        <v>6</v>
      </c>
      <c r="B1045" s="528" t="s">
        <v>3882</v>
      </c>
      <c r="C1045" s="528" t="s">
        <v>286</v>
      </c>
      <c r="D1045" s="539">
        <v>50</v>
      </c>
      <c r="E1045" s="540">
        <v>17300</v>
      </c>
      <c r="F1045" s="555">
        <v>865000</v>
      </c>
    </row>
    <row r="1046" spans="1:6" ht="15.75">
      <c r="A1046" s="136">
        <v>7</v>
      </c>
      <c r="B1046" s="525" t="s">
        <v>3883</v>
      </c>
      <c r="C1046" s="523" t="s">
        <v>286</v>
      </c>
      <c r="D1046" s="537">
        <v>10</v>
      </c>
      <c r="E1046" s="538">
        <v>75000</v>
      </c>
      <c r="F1046" s="556">
        <v>750000</v>
      </c>
    </row>
    <row r="1047" spans="1:6" ht="31.5">
      <c r="A1047" s="136">
        <v>8</v>
      </c>
      <c r="B1047" s="528" t="s">
        <v>3884</v>
      </c>
      <c r="C1047" s="528" t="s">
        <v>286</v>
      </c>
      <c r="D1047" s="634">
        <v>6</v>
      </c>
      <c r="E1047" s="533">
        <v>450000</v>
      </c>
      <c r="F1047" s="555">
        <v>2700000</v>
      </c>
    </row>
    <row r="1048" spans="1:6" ht="31.5">
      <c r="A1048" s="136">
        <v>9</v>
      </c>
      <c r="B1048" s="525" t="s">
        <v>3885</v>
      </c>
      <c r="C1048" s="525" t="s">
        <v>432</v>
      </c>
      <c r="D1048" s="635" t="s">
        <v>3886</v>
      </c>
      <c r="E1048" s="534">
        <v>4500</v>
      </c>
      <c r="F1048" s="556">
        <v>2250000</v>
      </c>
    </row>
    <row r="1049" spans="1:6" ht="31.5">
      <c r="A1049" s="136">
        <v>10</v>
      </c>
      <c r="B1049" s="528" t="s">
        <v>3887</v>
      </c>
      <c r="C1049" s="528" t="s">
        <v>286</v>
      </c>
      <c r="D1049" s="634" t="s">
        <v>1284</v>
      </c>
      <c r="E1049" s="533">
        <v>650000</v>
      </c>
      <c r="F1049" s="555">
        <v>1300000</v>
      </c>
    </row>
    <row r="1050" spans="1:6" ht="31.5">
      <c r="A1050" s="136">
        <v>11</v>
      </c>
      <c r="B1050" s="525" t="s">
        <v>3888</v>
      </c>
      <c r="C1050" s="525" t="s">
        <v>286</v>
      </c>
      <c r="D1050" s="635" t="s">
        <v>1284</v>
      </c>
      <c r="E1050" s="534">
        <v>2500000</v>
      </c>
      <c r="F1050" s="556">
        <v>5000000</v>
      </c>
    </row>
    <row r="1051" spans="1:6" ht="31.5">
      <c r="A1051" s="136">
        <v>12</v>
      </c>
      <c r="B1051" s="528" t="s">
        <v>3889</v>
      </c>
      <c r="C1051" s="528" t="s">
        <v>286</v>
      </c>
      <c r="D1051" s="634" t="s">
        <v>1285</v>
      </c>
      <c r="E1051" s="533">
        <v>380000</v>
      </c>
      <c r="F1051" s="555">
        <v>1900000</v>
      </c>
    </row>
    <row r="1052" spans="1:6" ht="15.75">
      <c r="A1052" s="136">
        <v>13</v>
      </c>
      <c r="B1052" s="525" t="s">
        <v>3890</v>
      </c>
      <c r="C1052" s="525" t="s">
        <v>286</v>
      </c>
      <c r="D1052" s="635" t="s">
        <v>1284</v>
      </c>
      <c r="E1052" s="534">
        <v>250000</v>
      </c>
      <c r="F1052" s="556">
        <v>500000</v>
      </c>
    </row>
    <row r="1053" spans="1:6" ht="15.75">
      <c r="A1053" s="136">
        <v>14</v>
      </c>
      <c r="B1053" s="528" t="s">
        <v>3891</v>
      </c>
      <c r="C1053" s="528" t="s">
        <v>286</v>
      </c>
      <c r="D1053" s="634" t="s">
        <v>1283</v>
      </c>
      <c r="E1053" s="533">
        <v>450000</v>
      </c>
      <c r="F1053" s="555">
        <v>450000</v>
      </c>
    </row>
    <row r="1054" spans="1:6" ht="15.75">
      <c r="A1054" s="136">
        <v>15</v>
      </c>
      <c r="B1054" s="523" t="s">
        <v>3892</v>
      </c>
      <c r="C1054" s="523" t="s">
        <v>286</v>
      </c>
      <c r="D1054" s="523">
        <v>2</v>
      </c>
      <c r="E1054" s="534">
        <v>680000</v>
      </c>
      <c r="F1054" s="556">
        <v>1360000</v>
      </c>
    </row>
    <row r="1055" spans="1:6" ht="31.5">
      <c r="A1055" s="136">
        <v>16</v>
      </c>
      <c r="B1055" s="524" t="s">
        <v>3893</v>
      </c>
      <c r="C1055" s="524" t="s">
        <v>286</v>
      </c>
      <c r="D1055" s="524">
        <v>1</v>
      </c>
      <c r="E1055" s="533">
        <v>2700000</v>
      </c>
      <c r="F1055" s="555">
        <v>2700000</v>
      </c>
    </row>
    <row r="1056" spans="1:6" ht="15.75">
      <c r="A1056" s="136">
        <v>17</v>
      </c>
      <c r="B1056" s="523" t="s">
        <v>3894</v>
      </c>
      <c r="C1056" s="523" t="s">
        <v>432</v>
      </c>
      <c r="D1056" s="523">
        <v>350</v>
      </c>
      <c r="E1056" s="534">
        <v>14000</v>
      </c>
      <c r="F1056" s="556">
        <v>4900000</v>
      </c>
    </row>
    <row r="1057" spans="1:6" ht="15.75">
      <c r="A1057" s="136">
        <v>18</v>
      </c>
      <c r="B1057" s="557" t="s">
        <v>3895</v>
      </c>
      <c r="C1057" s="557" t="s">
        <v>286</v>
      </c>
      <c r="D1057" s="557">
        <v>15</v>
      </c>
      <c r="E1057" s="608">
        <v>18000</v>
      </c>
      <c r="F1057" s="555">
        <v>270000</v>
      </c>
    </row>
    <row r="1058" spans="1:6" ht="15.75">
      <c r="A1058" s="136">
        <v>19</v>
      </c>
      <c r="B1058" s="552" t="s">
        <v>3896</v>
      </c>
      <c r="C1058" s="552" t="s">
        <v>286</v>
      </c>
      <c r="D1058" s="552">
        <v>10</v>
      </c>
      <c r="E1058" s="606">
        <v>8410</v>
      </c>
      <c r="F1058" s="556">
        <v>84100</v>
      </c>
    </row>
    <row r="1059" spans="1:6" ht="31.5">
      <c r="A1059" s="136">
        <v>20</v>
      </c>
      <c r="B1059" s="557" t="s">
        <v>3897</v>
      </c>
      <c r="C1059" s="557" t="s">
        <v>286</v>
      </c>
      <c r="D1059" s="557">
        <v>5</v>
      </c>
      <c r="E1059" s="608">
        <v>93360</v>
      </c>
      <c r="F1059" s="555">
        <v>466800</v>
      </c>
    </row>
    <row r="1060" spans="1:6" ht="15.75">
      <c r="A1060" s="136">
        <v>21</v>
      </c>
      <c r="B1060" s="552" t="s">
        <v>3898</v>
      </c>
      <c r="C1060" s="552" t="s">
        <v>432</v>
      </c>
      <c r="D1060" s="552">
        <v>100</v>
      </c>
      <c r="E1060" s="606">
        <v>16750</v>
      </c>
      <c r="F1060" s="556">
        <v>1675000</v>
      </c>
    </row>
    <row r="1061" spans="1:6" ht="15.75">
      <c r="A1061" s="136">
        <v>22</v>
      </c>
      <c r="B1061" s="557" t="s">
        <v>3899</v>
      </c>
      <c r="C1061" s="557" t="s">
        <v>286</v>
      </c>
      <c r="D1061" s="557">
        <v>4</v>
      </c>
      <c r="E1061" s="608">
        <v>185000</v>
      </c>
      <c r="F1061" s="555">
        <v>740000</v>
      </c>
    </row>
    <row r="1062" spans="1:6" ht="15.75">
      <c r="A1062" s="136">
        <v>23</v>
      </c>
      <c r="B1062" s="552" t="s">
        <v>3900</v>
      </c>
      <c r="C1062" s="549" t="s">
        <v>286</v>
      </c>
      <c r="D1062" s="549">
        <v>4</v>
      </c>
      <c r="E1062" s="581">
        <v>554400</v>
      </c>
      <c r="F1062" s="556">
        <v>2217600</v>
      </c>
    </row>
    <row r="1063" spans="1:6" ht="15.75">
      <c r="A1063" s="136">
        <v>24</v>
      </c>
      <c r="B1063" s="557" t="s">
        <v>3901</v>
      </c>
      <c r="C1063" s="543" t="s">
        <v>286</v>
      </c>
      <c r="D1063" s="543">
        <v>6</v>
      </c>
      <c r="E1063" s="544">
        <v>350000</v>
      </c>
      <c r="F1063" s="555">
        <v>2100000</v>
      </c>
    </row>
    <row r="1064" spans="1:6" ht="15.75">
      <c r="A1064" s="136">
        <v>25</v>
      </c>
      <c r="B1064" s="523" t="s">
        <v>3902</v>
      </c>
      <c r="C1064" s="523" t="s">
        <v>286</v>
      </c>
      <c r="D1064" s="523">
        <v>4</v>
      </c>
      <c r="E1064" s="523">
        <v>1120000</v>
      </c>
      <c r="F1064" s="556">
        <v>4480000</v>
      </c>
    </row>
    <row r="1065" spans="1:6" ht="15.75">
      <c r="A1065" s="136">
        <v>26</v>
      </c>
      <c r="B1065" s="524" t="s">
        <v>3903</v>
      </c>
      <c r="C1065" s="524" t="s">
        <v>286</v>
      </c>
      <c r="D1065" s="524">
        <v>8</v>
      </c>
      <c r="E1065" s="524">
        <v>304600</v>
      </c>
      <c r="F1065" s="555">
        <v>2436800</v>
      </c>
    </row>
    <row r="1066" spans="1:6" ht="15.75">
      <c r="A1066" s="136">
        <v>27</v>
      </c>
      <c r="B1066" s="523" t="s">
        <v>3904</v>
      </c>
      <c r="C1066" s="523" t="s">
        <v>286</v>
      </c>
      <c r="D1066" s="523">
        <v>4</v>
      </c>
      <c r="E1066" s="523">
        <v>200000</v>
      </c>
      <c r="F1066" s="556">
        <v>800000</v>
      </c>
    </row>
    <row r="1067" spans="1:6" ht="15.75">
      <c r="A1067" s="136">
        <v>28</v>
      </c>
      <c r="B1067" s="524" t="s">
        <v>3515</v>
      </c>
      <c r="C1067" s="524" t="s">
        <v>286</v>
      </c>
      <c r="D1067" s="524">
        <v>10</v>
      </c>
      <c r="E1067" s="524">
        <v>45000</v>
      </c>
      <c r="F1067" s="555">
        <v>450000</v>
      </c>
    </row>
    <row r="1068" spans="1:6" ht="31.5">
      <c r="A1068" s="136">
        <v>29</v>
      </c>
      <c r="B1068" s="523" t="s">
        <v>3905</v>
      </c>
      <c r="C1068" s="523" t="s">
        <v>286</v>
      </c>
      <c r="D1068" s="523">
        <v>6</v>
      </c>
      <c r="E1068" s="523">
        <v>300000</v>
      </c>
      <c r="F1068" s="556">
        <v>1800000</v>
      </c>
    </row>
    <row r="1069" spans="1:6" ht="15.75">
      <c r="A1069" s="136">
        <v>30</v>
      </c>
      <c r="B1069" s="524" t="s">
        <v>3906</v>
      </c>
      <c r="C1069" s="524" t="s">
        <v>286</v>
      </c>
      <c r="D1069" s="524">
        <v>10</v>
      </c>
      <c r="E1069" s="524">
        <v>121000</v>
      </c>
      <c r="F1069" s="555">
        <v>1210000</v>
      </c>
    </row>
    <row r="1070" spans="1:6" ht="15.75">
      <c r="A1070" s="136">
        <v>31</v>
      </c>
      <c r="B1070" s="523" t="s">
        <v>3907</v>
      </c>
      <c r="C1070" s="523" t="s">
        <v>286</v>
      </c>
      <c r="D1070" s="523">
        <v>20</v>
      </c>
      <c r="E1070" s="523">
        <v>30000</v>
      </c>
      <c r="F1070" s="556">
        <v>600000</v>
      </c>
    </row>
    <row r="1071" spans="1:6" ht="15.75">
      <c r="A1071" s="136">
        <v>32</v>
      </c>
      <c r="B1071" s="524" t="s">
        <v>3907</v>
      </c>
      <c r="C1071" s="524" t="s">
        <v>286</v>
      </c>
      <c r="D1071" s="524">
        <v>30</v>
      </c>
      <c r="E1071" s="524">
        <v>30000</v>
      </c>
      <c r="F1071" s="555">
        <v>900000</v>
      </c>
    </row>
    <row r="1072" spans="1:6" ht="15.75">
      <c r="A1072" s="136">
        <v>33</v>
      </c>
      <c r="B1072" s="523" t="s">
        <v>3908</v>
      </c>
      <c r="C1072" s="523" t="s">
        <v>286</v>
      </c>
      <c r="D1072" s="523">
        <v>16</v>
      </c>
      <c r="E1072" s="523">
        <v>10400</v>
      </c>
      <c r="F1072" s="556">
        <v>166400</v>
      </c>
    </row>
    <row r="1073" spans="1:6" ht="15.75">
      <c r="A1073" s="136">
        <v>34</v>
      </c>
      <c r="B1073" s="524" t="s">
        <v>3909</v>
      </c>
      <c r="C1073" s="524" t="s">
        <v>286</v>
      </c>
      <c r="D1073" s="524">
        <v>20</v>
      </c>
      <c r="E1073" s="524">
        <v>20000</v>
      </c>
      <c r="F1073" s="555">
        <v>400000</v>
      </c>
    </row>
    <row r="1074" spans="1:6" ht="31.5">
      <c r="A1074" s="136">
        <v>35</v>
      </c>
      <c r="B1074" s="573" t="s">
        <v>3910</v>
      </c>
      <c r="C1074" s="545" t="s">
        <v>286</v>
      </c>
      <c r="D1074" s="633">
        <v>1</v>
      </c>
      <c r="E1074" s="527">
        <v>1850000</v>
      </c>
      <c r="F1074" s="556">
        <v>1850000</v>
      </c>
    </row>
    <row r="1075" spans="1:6" ht="15.75">
      <c r="A1075" s="136">
        <v>36</v>
      </c>
      <c r="B1075" s="592" t="s">
        <v>3911</v>
      </c>
      <c r="C1075" s="547" t="s">
        <v>286</v>
      </c>
      <c r="D1075" s="539">
        <v>25</v>
      </c>
      <c r="E1075" s="526">
        <v>35000</v>
      </c>
      <c r="F1075" s="555">
        <v>875000</v>
      </c>
    </row>
    <row r="1076" spans="1:6" ht="31.5">
      <c r="A1076" s="136">
        <v>37</v>
      </c>
      <c r="B1076" s="527" t="s">
        <v>3912</v>
      </c>
      <c r="C1076" s="545" t="s">
        <v>286</v>
      </c>
      <c r="D1076" s="546">
        <v>10</v>
      </c>
      <c r="E1076" s="527">
        <v>500000</v>
      </c>
      <c r="F1076" s="556">
        <v>5000000</v>
      </c>
    </row>
    <row r="1077" spans="1:6" ht="31.5">
      <c r="A1077" s="136">
        <v>38</v>
      </c>
      <c r="B1077" s="526" t="s">
        <v>3913</v>
      </c>
      <c r="C1077" s="547" t="s">
        <v>286</v>
      </c>
      <c r="D1077" s="548">
        <v>6</v>
      </c>
      <c r="E1077" s="526">
        <v>350000</v>
      </c>
      <c r="F1077" s="555">
        <v>2100000</v>
      </c>
    </row>
    <row r="1078" spans="1:6" ht="31.5">
      <c r="A1078" s="136">
        <v>39</v>
      </c>
      <c r="B1078" s="527" t="s">
        <v>3914</v>
      </c>
      <c r="C1078" s="545" t="s">
        <v>286</v>
      </c>
      <c r="D1078" s="546">
        <v>20</v>
      </c>
      <c r="E1078" s="527">
        <v>85000</v>
      </c>
      <c r="F1078" s="556">
        <v>1700000</v>
      </c>
    </row>
    <row r="1079" spans="1:6" ht="31.5">
      <c r="A1079" s="136">
        <v>40</v>
      </c>
      <c r="B1079" s="526" t="s">
        <v>3915</v>
      </c>
      <c r="C1079" s="547" t="s">
        <v>286</v>
      </c>
      <c r="D1079" s="548">
        <v>10</v>
      </c>
      <c r="E1079" s="526">
        <v>500000</v>
      </c>
      <c r="F1079" s="555">
        <v>5000000</v>
      </c>
    </row>
    <row r="1080" spans="1:6" ht="31.5">
      <c r="A1080" s="136">
        <v>41</v>
      </c>
      <c r="B1080" s="573" t="s">
        <v>3916</v>
      </c>
      <c r="C1080" s="545" t="s">
        <v>286</v>
      </c>
      <c r="D1080" s="633">
        <v>2</v>
      </c>
      <c r="E1080" s="527">
        <v>3100000</v>
      </c>
      <c r="F1080" s="556">
        <v>6200000</v>
      </c>
    </row>
    <row r="1081" spans="1:6" ht="47.25">
      <c r="A1081" s="136">
        <v>42</v>
      </c>
      <c r="B1081" s="547" t="s">
        <v>3917</v>
      </c>
      <c r="C1081" s="547" t="s">
        <v>286</v>
      </c>
      <c r="D1081" s="547">
        <v>5</v>
      </c>
      <c r="E1081" s="526">
        <v>150000</v>
      </c>
      <c r="F1081" s="555">
        <v>750000</v>
      </c>
    </row>
    <row r="1082" spans="1:6" ht="15.75">
      <c r="A1082" s="136">
        <v>43</v>
      </c>
      <c r="B1082" s="527" t="s">
        <v>3918</v>
      </c>
      <c r="C1082" s="545" t="s">
        <v>286</v>
      </c>
      <c r="D1082" s="546">
        <v>5</v>
      </c>
      <c r="E1082" s="527">
        <v>110000</v>
      </c>
      <c r="F1082" s="556">
        <v>550000</v>
      </c>
    </row>
    <row r="1083" spans="1:6" ht="15.75">
      <c r="A1083" s="136">
        <v>44</v>
      </c>
      <c r="B1083" s="543" t="s">
        <v>3919</v>
      </c>
      <c r="C1083" s="543" t="s">
        <v>286</v>
      </c>
      <c r="D1083" s="551">
        <v>1</v>
      </c>
      <c r="E1083" s="551">
        <v>4500000</v>
      </c>
      <c r="F1083" s="555">
        <v>4500000</v>
      </c>
    </row>
    <row r="1084" spans="1:6" ht="15.75">
      <c r="A1084" s="136">
        <v>45</v>
      </c>
      <c r="B1084" s="549" t="s">
        <v>3920</v>
      </c>
      <c r="C1084" s="549" t="s">
        <v>286</v>
      </c>
      <c r="D1084" s="550">
        <v>30</v>
      </c>
      <c r="E1084" s="550">
        <v>30000</v>
      </c>
      <c r="F1084" s="556">
        <v>900000</v>
      </c>
    </row>
    <row r="1085" spans="1:6" ht="15.75">
      <c r="A1085" s="136">
        <v>46</v>
      </c>
      <c r="B1085" s="543" t="s">
        <v>3919</v>
      </c>
      <c r="C1085" s="543" t="s">
        <v>286</v>
      </c>
      <c r="D1085" s="551">
        <v>1</v>
      </c>
      <c r="E1085" s="551">
        <v>750000</v>
      </c>
      <c r="F1085" s="555">
        <v>750000</v>
      </c>
    </row>
    <row r="1086" spans="1:6" ht="15.75">
      <c r="A1086" s="136">
        <v>47</v>
      </c>
      <c r="B1086" s="549" t="s">
        <v>3921</v>
      </c>
      <c r="C1086" s="549" t="s">
        <v>286</v>
      </c>
      <c r="D1086" s="550">
        <v>2</v>
      </c>
      <c r="E1086" s="550">
        <v>300000</v>
      </c>
      <c r="F1086" s="556">
        <v>600000</v>
      </c>
    </row>
    <row r="1087" spans="1:6" ht="15.75">
      <c r="A1087" s="136">
        <v>48</v>
      </c>
      <c r="B1087" s="543" t="s">
        <v>3922</v>
      </c>
      <c r="C1087" s="543" t="s">
        <v>286</v>
      </c>
      <c r="D1087" s="551">
        <v>2</v>
      </c>
      <c r="E1087" s="551">
        <v>500000</v>
      </c>
      <c r="F1087" s="555">
        <v>1000000</v>
      </c>
    </row>
    <row r="1088" spans="1:6" ht="15.75">
      <c r="A1088" s="136">
        <v>49</v>
      </c>
      <c r="B1088" s="549" t="s">
        <v>3923</v>
      </c>
      <c r="C1088" s="549" t="s">
        <v>286</v>
      </c>
      <c r="D1088" s="550">
        <v>7</v>
      </c>
      <c r="E1088" s="550">
        <v>120000</v>
      </c>
      <c r="F1088" s="556">
        <v>840000</v>
      </c>
    </row>
    <row r="1089" spans="1:6" ht="15.75">
      <c r="A1089" s="136">
        <v>50</v>
      </c>
      <c r="B1089" s="543" t="s">
        <v>3924</v>
      </c>
      <c r="C1089" s="543" t="s">
        <v>432</v>
      </c>
      <c r="D1089" s="551">
        <v>100</v>
      </c>
      <c r="E1089" s="551">
        <v>14000</v>
      </c>
      <c r="F1089" s="555">
        <v>1400000</v>
      </c>
    </row>
    <row r="1090" spans="1:6" ht="15.75">
      <c r="A1090" s="136">
        <v>51</v>
      </c>
      <c r="B1090" s="523" t="s">
        <v>25</v>
      </c>
      <c r="C1090" s="523" t="s">
        <v>286</v>
      </c>
      <c r="D1090" s="523">
        <v>50</v>
      </c>
      <c r="E1090" s="556">
        <v>4700</v>
      </c>
      <c r="F1090" s="556">
        <v>235000</v>
      </c>
    </row>
    <row r="1091" spans="1:6" ht="15.75">
      <c r="A1091" s="136">
        <v>52</v>
      </c>
      <c r="B1091" s="636" t="s">
        <v>3925</v>
      </c>
      <c r="C1091" s="524" t="s">
        <v>286</v>
      </c>
      <c r="D1091" s="524">
        <v>5</v>
      </c>
      <c r="E1091" s="555">
        <v>200000</v>
      </c>
      <c r="F1091" s="555">
        <v>1000000</v>
      </c>
    </row>
    <row r="1092" spans="1:6" ht="15.75">
      <c r="A1092" s="136">
        <v>53</v>
      </c>
      <c r="B1092" s="637" t="s">
        <v>61</v>
      </c>
      <c r="C1092" s="523" t="s">
        <v>286</v>
      </c>
      <c r="D1092" s="523">
        <v>10</v>
      </c>
      <c r="E1092" s="556">
        <v>200000</v>
      </c>
      <c r="F1092" s="556">
        <v>2000000</v>
      </c>
    </row>
    <row r="1093" spans="1:6" ht="15.75">
      <c r="A1093" s="136">
        <v>54</v>
      </c>
      <c r="B1093" s="524" t="s">
        <v>3926</v>
      </c>
      <c r="C1093" s="524" t="s">
        <v>286</v>
      </c>
      <c r="D1093" s="524">
        <v>15</v>
      </c>
      <c r="E1093" s="555">
        <v>160000</v>
      </c>
      <c r="F1093" s="555">
        <v>2400000</v>
      </c>
    </row>
    <row r="1094" spans="1:6" ht="15.75">
      <c r="A1094" s="136">
        <v>55</v>
      </c>
      <c r="B1094" s="523" t="s">
        <v>64</v>
      </c>
      <c r="C1094" s="523" t="s">
        <v>286</v>
      </c>
      <c r="D1094" s="523">
        <v>18</v>
      </c>
      <c r="E1094" s="556">
        <v>30000</v>
      </c>
      <c r="F1094" s="556">
        <v>540000</v>
      </c>
    </row>
    <row r="1095" spans="1:6" ht="15.75">
      <c r="A1095" s="136">
        <v>56</v>
      </c>
      <c r="B1095" s="524" t="s">
        <v>3927</v>
      </c>
      <c r="C1095" s="524" t="s">
        <v>3928</v>
      </c>
      <c r="D1095" s="524">
        <v>200</v>
      </c>
      <c r="E1095" s="555">
        <v>14000</v>
      </c>
      <c r="F1095" s="555">
        <v>2800000</v>
      </c>
    </row>
    <row r="1096" spans="1:6" ht="15.75">
      <c r="A1096" s="136">
        <v>57</v>
      </c>
      <c r="B1096" s="549" t="s">
        <v>65</v>
      </c>
      <c r="C1096" s="523" t="s">
        <v>286</v>
      </c>
      <c r="D1096" s="523">
        <v>36</v>
      </c>
      <c r="E1096" s="556">
        <v>10000</v>
      </c>
      <c r="F1096" s="556">
        <v>360000</v>
      </c>
    </row>
    <row r="1097" spans="1:6" ht="15.75">
      <c r="A1097" s="136">
        <v>58</v>
      </c>
      <c r="B1097" s="543" t="s">
        <v>3929</v>
      </c>
      <c r="C1097" s="524" t="s">
        <v>286</v>
      </c>
      <c r="D1097" s="524">
        <v>15</v>
      </c>
      <c r="E1097" s="555">
        <v>30000</v>
      </c>
      <c r="F1097" s="555">
        <v>450000</v>
      </c>
    </row>
    <row r="1098" spans="1:6" ht="47.25">
      <c r="A1098" s="136">
        <v>59</v>
      </c>
      <c r="B1098" s="549" t="s">
        <v>3930</v>
      </c>
      <c r="C1098" s="523" t="s">
        <v>286</v>
      </c>
      <c r="D1098" s="523">
        <v>10</v>
      </c>
      <c r="E1098" s="556">
        <v>28000</v>
      </c>
      <c r="F1098" s="556">
        <v>280000</v>
      </c>
    </row>
    <row r="1099" spans="1:6" ht="15.75">
      <c r="A1099" s="136">
        <v>60</v>
      </c>
      <c r="B1099" s="524" t="s">
        <v>3931</v>
      </c>
      <c r="C1099" s="524" t="s">
        <v>286</v>
      </c>
      <c r="D1099" s="524">
        <v>3</v>
      </c>
      <c r="E1099" s="533">
        <v>800000</v>
      </c>
      <c r="F1099" s="555">
        <v>2400000</v>
      </c>
    </row>
    <row r="1100" spans="1:6" ht="15.75">
      <c r="A1100" s="136">
        <v>61</v>
      </c>
      <c r="B1100" s="523" t="s">
        <v>7</v>
      </c>
      <c r="C1100" s="523" t="s">
        <v>286</v>
      </c>
      <c r="D1100" s="523">
        <v>2</v>
      </c>
      <c r="E1100" s="534">
        <v>1100000</v>
      </c>
      <c r="F1100" s="556">
        <v>2200000</v>
      </c>
    </row>
    <row r="1101" spans="1:6" ht="15.75">
      <c r="A1101" s="136">
        <v>62</v>
      </c>
      <c r="B1101" s="543" t="s">
        <v>3932</v>
      </c>
      <c r="C1101" s="524" t="s">
        <v>286</v>
      </c>
      <c r="D1101" s="524">
        <v>2</v>
      </c>
      <c r="E1101" s="524">
        <v>350000</v>
      </c>
      <c r="F1101" s="555">
        <v>700000</v>
      </c>
    </row>
    <row r="1102" spans="1:6" ht="47.25">
      <c r="A1102" s="136">
        <v>63</v>
      </c>
      <c r="B1102" s="523" t="s">
        <v>3933</v>
      </c>
      <c r="C1102" s="523" t="s">
        <v>286</v>
      </c>
      <c r="D1102" s="523">
        <v>2</v>
      </c>
      <c r="E1102" s="523">
        <v>2000000</v>
      </c>
      <c r="F1102" s="556">
        <v>4000000</v>
      </c>
    </row>
    <row r="1103" spans="1:6" ht="31.5">
      <c r="A1103" s="136">
        <v>64</v>
      </c>
      <c r="B1103" s="638" t="s">
        <v>3934</v>
      </c>
      <c r="C1103" s="543" t="s">
        <v>286</v>
      </c>
      <c r="D1103" s="524">
        <v>2</v>
      </c>
      <c r="E1103" s="524">
        <v>6000000</v>
      </c>
      <c r="F1103" s="555">
        <v>12000000</v>
      </c>
    </row>
    <row r="1104" spans="1:6" ht="31.5">
      <c r="A1104" s="136">
        <v>65</v>
      </c>
      <c r="B1104" s="523" t="s">
        <v>3935</v>
      </c>
      <c r="C1104" s="549" t="s">
        <v>286</v>
      </c>
      <c r="D1104" s="523">
        <v>1</v>
      </c>
      <c r="E1104" s="523">
        <v>4000000</v>
      </c>
      <c r="F1104" s="556">
        <v>4000000</v>
      </c>
    </row>
    <row r="1105" spans="1:6" ht="15.75">
      <c r="A1105" s="136">
        <v>66</v>
      </c>
      <c r="B1105" s="524" t="s">
        <v>3936</v>
      </c>
      <c r="C1105" s="524" t="s">
        <v>286</v>
      </c>
      <c r="D1105" s="524">
        <v>25</v>
      </c>
      <c r="E1105" s="555">
        <v>12000</v>
      </c>
      <c r="F1105" s="555">
        <v>300000</v>
      </c>
    </row>
    <row r="1106" spans="1:6" ht="15.75">
      <c r="A1106" s="136">
        <v>67</v>
      </c>
      <c r="B1106" s="523" t="s">
        <v>3937</v>
      </c>
      <c r="C1106" s="523" t="s">
        <v>286</v>
      </c>
      <c r="D1106" s="523">
        <v>20</v>
      </c>
      <c r="E1106" s="556">
        <v>19000</v>
      </c>
      <c r="F1106" s="556">
        <v>380000</v>
      </c>
    </row>
    <row r="1107" spans="1:6" ht="15.75">
      <c r="A1107" s="136">
        <v>68</v>
      </c>
      <c r="B1107" s="524" t="s">
        <v>3938</v>
      </c>
      <c r="C1107" s="524" t="s">
        <v>286</v>
      </c>
      <c r="D1107" s="524">
        <v>25</v>
      </c>
      <c r="E1107" s="555">
        <v>25000</v>
      </c>
      <c r="F1107" s="555">
        <v>625000</v>
      </c>
    </row>
    <row r="1108" spans="1:6" ht="15.75">
      <c r="A1108" s="136">
        <v>69</v>
      </c>
      <c r="B1108" s="523" t="s">
        <v>3939</v>
      </c>
      <c r="C1108" s="523" t="s">
        <v>286</v>
      </c>
      <c r="D1108" s="523">
        <v>6</v>
      </c>
      <c r="E1108" s="556">
        <v>680000</v>
      </c>
      <c r="F1108" s="556">
        <v>4080000</v>
      </c>
    </row>
    <row r="1109" spans="1:6" ht="15.75">
      <c r="A1109" s="136">
        <v>70</v>
      </c>
      <c r="B1109" s="524" t="s">
        <v>3940</v>
      </c>
      <c r="C1109" s="524" t="s">
        <v>286</v>
      </c>
      <c r="D1109" s="524">
        <v>14</v>
      </c>
      <c r="E1109" s="555">
        <v>36000</v>
      </c>
      <c r="F1109" s="555">
        <v>504000</v>
      </c>
    </row>
    <row r="1110" spans="1:6" ht="15.75">
      <c r="A1110" s="136">
        <v>71</v>
      </c>
      <c r="B1110" s="523" t="s">
        <v>3941</v>
      </c>
      <c r="C1110" s="523" t="s">
        <v>286</v>
      </c>
      <c r="D1110" s="523">
        <v>30</v>
      </c>
      <c r="E1110" s="556">
        <v>13050</v>
      </c>
      <c r="F1110" s="556">
        <v>391500</v>
      </c>
    </row>
    <row r="1111" spans="1:6" ht="15.75">
      <c r="A1111" s="136">
        <v>72</v>
      </c>
      <c r="B1111" s="524" t="s">
        <v>3942</v>
      </c>
      <c r="C1111" s="524" t="s">
        <v>286</v>
      </c>
      <c r="D1111" s="524">
        <v>50</v>
      </c>
      <c r="E1111" s="555">
        <v>11000</v>
      </c>
      <c r="F1111" s="555">
        <v>550000</v>
      </c>
    </row>
    <row r="1112" spans="1:6" ht="15.75">
      <c r="A1112" s="136">
        <v>73</v>
      </c>
      <c r="B1112" s="523" t="s">
        <v>3943</v>
      </c>
      <c r="C1112" s="523" t="s">
        <v>286</v>
      </c>
      <c r="D1112" s="523">
        <v>5</v>
      </c>
      <c r="E1112" s="556">
        <v>102200</v>
      </c>
      <c r="F1112" s="556">
        <v>511000</v>
      </c>
    </row>
    <row r="1113" spans="1:6" ht="15.75">
      <c r="A1113" s="136">
        <v>74</v>
      </c>
      <c r="B1113" s="524" t="s">
        <v>3944</v>
      </c>
      <c r="C1113" s="524" t="s">
        <v>286</v>
      </c>
      <c r="D1113" s="524">
        <v>2</v>
      </c>
      <c r="E1113" s="555">
        <v>948700</v>
      </c>
      <c r="F1113" s="555">
        <v>1897400</v>
      </c>
    </row>
    <row r="1114" spans="1:6" ht="15.75">
      <c r="A1114" s="136">
        <v>75</v>
      </c>
      <c r="B1114" s="523" t="s">
        <v>3945</v>
      </c>
      <c r="C1114" s="523" t="s">
        <v>286</v>
      </c>
      <c r="D1114" s="523">
        <v>1</v>
      </c>
      <c r="E1114" s="556">
        <v>518100</v>
      </c>
      <c r="F1114" s="556">
        <v>518100</v>
      </c>
    </row>
    <row r="1115" spans="1:6" ht="15.75">
      <c r="A1115" s="136">
        <v>76</v>
      </c>
      <c r="B1115" s="557" t="s">
        <v>3946</v>
      </c>
      <c r="C1115" s="557" t="s">
        <v>286</v>
      </c>
      <c r="D1115" s="557">
        <v>40</v>
      </c>
      <c r="E1115" s="555">
        <v>42000</v>
      </c>
      <c r="F1115" s="555">
        <v>1680000</v>
      </c>
    </row>
    <row r="1116" spans="1:6" ht="15.75">
      <c r="A1116" s="136">
        <v>77</v>
      </c>
      <c r="B1116" s="523" t="s">
        <v>3936</v>
      </c>
      <c r="C1116" s="523" t="s">
        <v>286</v>
      </c>
      <c r="D1116" s="523">
        <v>25</v>
      </c>
      <c r="E1116" s="538">
        <v>22000</v>
      </c>
      <c r="F1116" s="556">
        <v>550000</v>
      </c>
    </row>
    <row r="1117" spans="1:6" ht="15.75">
      <c r="A1117" s="136">
        <v>78</v>
      </c>
      <c r="B1117" s="524" t="s">
        <v>3937</v>
      </c>
      <c r="C1117" s="524" t="s">
        <v>286</v>
      </c>
      <c r="D1117" s="524">
        <v>20</v>
      </c>
      <c r="E1117" s="540">
        <v>19000</v>
      </c>
      <c r="F1117" s="555">
        <v>380000</v>
      </c>
    </row>
    <row r="1118" spans="1:6" ht="15.75">
      <c r="A1118" s="136">
        <v>79</v>
      </c>
      <c r="B1118" s="523" t="s">
        <v>3938</v>
      </c>
      <c r="C1118" s="523" t="s">
        <v>286</v>
      </c>
      <c r="D1118" s="523">
        <v>25</v>
      </c>
      <c r="E1118" s="538">
        <v>25000</v>
      </c>
      <c r="F1118" s="556">
        <v>625000</v>
      </c>
    </row>
    <row r="1119" spans="1:6" ht="15.75">
      <c r="A1119" s="136">
        <v>80</v>
      </c>
      <c r="B1119" s="524" t="s">
        <v>3947</v>
      </c>
      <c r="C1119" s="524" t="s">
        <v>286</v>
      </c>
      <c r="D1119" s="524">
        <v>10</v>
      </c>
      <c r="E1119" s="540">
        <v>680000</v>
      </c>
      <c r="F1119" s="555">
        <v>6800000</v>
      </c>
    </row>
    <row r="1120" spans="1:6" ht="15.75">
      <c r="A1120" s="136">
        <v>81</v>
      </c>
      <c r="B1120" s="523" t="s">
        <v>3948</v>
      </c>
      <c r="C1120" s="523" t="s">
        <v>286</v>
      </c>
      <c r="D1120" s="523">
        <v>1</v>
      </c>
      <c r="E1120" s="538">
        <v>593000</v>
      </c>
      <c r="F1120" s="556">
        <v>593000</v>
      </c>
    </row>
    <row r="1121" spans="1:6" ht="15.75">
      <c r="A1121" s="136">
        <v>82</v>
      </c>
      <c r="B1121" s="524" t="s">
        <v>3940</v>
      </c>
      <c r="C1121" s="524" t="s">
        <v>286</v>
      </c>
      <c r="D1121" s="524">
        <v>14</v>
      </c>
      <c r="E1121" s="540">
        <v>36000</v>
      </c>
      <c r="F1121" s="555">
        <v>504000</v>
      </c>
    </row>
    <row r="1122" spans="1:6" ht="15.75">
      <c r="A1122" s="136">
        <v>83</v>
      </c>
      <c r="B1122" s="523" t="s">
        <v>3941</v>
      </c>
      <c r="C1122" s="523" t="s">
        <v>286</v>
      </c>
      <c r="D1122" s="523">
        <v>30</v>
      </c>
      <c r="E1122" s="538">
        <v>13050</v>
      </c>
      <c r="F1122" s="556">
        <v>391500</v>
      </c>
    </row>
    <row r="1123" spans="1:6" ht="15.75">
      <c r="A1123" s="136">
        <v>84</v>
      </c>
      <c r="B1123" s="524" t="s">
        <v>3942</v>
      </c>
      <c r="C1123" s="524" t="s">
        <v>286</v>
      </c>
      <c r="D1123" s="524">
        <v>50</v>
      </c>
      <c r="E1123" s="540">
        <v>11000</v>
      </c>
      <c r="F1123" s="555">
        <v>550000</v>
      </c>
    </row>
    <row r="1124" spans="1:6" ht="15.75">
      <c r="A1124" s="136">
        <v>85</v>
      </c>
      <c r="B1124" s="523" t="s">
        <v>3943</v>
      </c>
      <c r="C1124" s="523" t="s">
        <v>286</v>
      </c>
      <c r="D1124" s="523">
        <v>5</v>
      </c>
      <c r="E1124" s="538">
        <v>102200</v>
      </c>
      <c r="F1124" s="556">
        <v>511000</v>
      </c>
    </row>
    <row r="1125" spans="1:6" ht="15.75">
      <c r="A1125" s="136">
        <v>86</v>
      </c>
      <c r="B1125" s="524" t="s">
        <v>3944</v>
      </c>
      <c r="C1125" s="524" t="s">
        <v>286</v>
      </c>
      <c r="D1125" s="524">
        <v>2</v>
      </c>
      <c r="E1125" s="540">
        <v>948700</v>
      </c>
      <c r="F1125" s="555">
        <v>1897400</v>
      </c>
    </row>
    <row r="1126" spans="1:6" ht="15.75">
      <c r="A1126" s="136">
        <v>87</v>
      </c>
      <c r="B1126" s="523" t="s">
        <v>3945</v>
      </c>
      <c r="C1126" s="523" t="s">
        <v>286</v>
      </c>
      <c r="D1126" s="523">
        <v>2</v>
      </c>
      <c r="E1126" s="538">
        <v>518100</v>
      </c>
      <c r="F1126" s="556">
        <v>1036200</v>
      </c>
    </row>
    <row r="1127" spans="1:6" ht="15.75">
      <c r="A1127" s="136">
        <v>88</v>
      </c>
      <c r="B1127" s="557" t="s">
        <v>3946</v>
      </c>
      <c r="C1127" s="557" t="s">
        <v>286</v>
      </c>
      <c r="D1127" s="557">
        <v>40</v>
      </c>
      <c r="E1127" s="540">
        <v>42000</v>
      </c>
      <c r="F1127" s="555">
        <v>1680000</v>
      </c>
    </row>
    <row r="1128" spans="1:6" ht="15.75">
      <c r="A1128" s="136">
        <v>89</v>
      </c>
      <c r="B1128" s="523" t="s">
        <v>3949</v>
      </c>
      <c r="C1128" s="523" t="s">
        <v>286</v>
      </c>
      <c r="D1128" s="523">
        <v>2</v>
      </c>
      <c r="E1128" s="556">
        <v>1100000</v>
      </c>
      <c r="F1128" s="556">
        <v>2200000</v>
      </c>
    </row>
    <row r="1129" spans="1:6" ht="15.75">
      <c r="A1129" s="136">
        <v>90</v>
      </c>
      <c r="B1129" s="524" t="s">
        <v>3950</v>
      </c>
      <c r="C1129" s="524" t="s">
        <v>286</v>
      </c>
      <c r="D1129" s="524">
        <v>4</v>
      </c>
      <c r="E1129" s="555">
        <v>320000</v>
      </c>
      <c r="F1129" s="555">
        <v>1280000</v>
      </c>
    </row>
    <row r="1130" spans="1:6" ht="15.75">
      <c r="A1130" s="136">
        <v>91</v>
      </c>
      <c r="B1130" s="523" t="s">
        <v>3951</v>
      </c>
      <c r="C1130" s="523" t="s">
        <v>286</v>
      </c>
      <c r="D1130" s="523">
        <v>2</v>
      </c>
      <c r="E1130" s="556">
        <v>250000</v>
      </c>
      <c r="F1130" s="556">
        <v>500000</v>
      </c>
    </row>
    <row r="1131" spans="1:6" ht="15.75">
      <c r="A1131" s="136">
        <v>92</v>
      </c>
      <c r="B1131" s="524" t="s">
        <v>3952</v>
      </c>
      <c r="C1131" s="524" t="s">
        <v>286</v>
      </c>
      <c r="D1131" s="524">
        <v>2</v>
      </c>
      <c r="E1131" s="555">
        <v>220000</v>
      </c>
      <c r="F1131" s="555">
        <v>440000</v>
      </c>
    </row>
    <row r="1132" spans="1:6" ht="15.75">
      <c r="A1132" s="136">
        <v>93</v>
      </c>
      <c r="B1132" s="523" t="s">
        <v>3953</v>
      </c>
      <c r="C1132" s="523" t="s">
        <v>286</v>
      </c>
      <c r="D1132" s="523">
        <v>10</v>
      </c>
      <c r="E1132" s="556">
        <v>62000</v>
      </c>
      <c r="F1132" s="556">
        <v>620000</v>
      </c>
    </row>
    <row r="1133" spans="1:6" ht="15.75">
      <c r="A1133" s="136">
        <v>94</v>
      </c>
      <c r="B1133" s="524" t="s">
        <v>3954</v>
      </c>
      <c r="C1133" s="524" t="s">
        <v>286</v>
      </c>
      <c r="D1133" s="524">
        <v>100</v>
      </c>
      <c r="E1133" s="555">
        <v>11025</v>
      </c>
      <c r="F1133" s="555">
        <v>1102500</v>
      </c>
    </row>
    <row r="1134" spans="1:6" ht="15.75">
      <c r="A1134" s="136">
        <v>95</v>
      </c>
      <c r="B1134" s="523" t="s">
        <v>3955</v>
      </c>
      <c r="C1134" s="523" t="s">
        <v>286</v>
      </c>
      <c r="D1134" s="523">
        <v>10</v>
      </c>
      <c r="E1134" s="556">
        <v>130000</v>
      </c>
      <c r="F1134" s="556">
        <v>1300000</v>
      </c>
    </row>
    <row r="1135" spans="1:6" ht="15.75">
      <c r="A1135" s="136">
        <v>96</v>
      </c>
      <c r="B1135" s="524" t="s">
        <v>3956</v>
      </c>
      <c r="C1135" s="524" t="s">
        <v>286</v>
      </c>
      <c r="D1135" s="524">
        <v>4</v>
      </c>
      <c r="E1135" s="555">
        <v>250000</v>
      </c>
      <c r="F1135" s="555">
        <v>1000000</v>
      </c>
    </row>
    <row r="1136" spans="1:6" ht="15.75">
      <c r="A1136" s="136">
        <v>97</v>
      </c>
      <c r="B1136" s="523" t="s">
        <v>3957</v>
      </c>
      <c r="C1136" s="523" t="s">
        <v>432</v>
      </c>
      <c r="D1136" s="523">
        <v>200</v>
      </c>
      <c r="E1136" s="556">
        <v>12000</v>
      </c>
      <c r="F1136" s="556">
        <v>2400000</v>
      </c>
    </row>
    <row r="1137" spans="1:6" ht="15.75">
      <c r="A1137" s="136">
        <v>98</v>
      </c>
      <c r="B1137" s="524" t="s">
        <v>3958</v>
      </c>
      <c r="C1137" s="524" t="s">
        <v>286</v>
      </c>
      <c r="D1137" s="524">
        <v>30</v>
      </c>
      <c r="E1137" s="555">
        <v>15000</v>
      </c>
      <c r="F1137" s="555">
        <v>450000</v>
      </c>
    </row>
    <row r="1138" spans="1:6" ht="15.75">
      <c r="A1138" s="136">
        <v>99</v>
      </c>
      <c r="B1138" s="523" t="s">
        <v>3959</v>
      </c>
      <c r="C1138" s="523" t="s">
        <v>286</v>
      </c>
      <c r="D1138" s="523">
        <v>30</v>
      </c>
      <c r="E1138" s="556">
        <v>13000</v>
      </c>
      <c r="F1138" s="556">
        <v>390000</v>
      </c>
    </row>
    <row r="1139" spans="1:6" ht="31.5">
      <c r="A1139" s="136">
        <v>100</v>
      </c>
      <c r="B1139" s="524" t="s">
        <v>3960</v>
      </c>
      <c r="C1139" s="524" t="s">
        <v>286</v>
      </c>
      <c r="D1139" s="524">
        <v>2</v>
      </c>
      <c r="E1139" s="533">
        <v>8800000</v>
      </c>
      <c r="F1139" s="555">
        <v>17600000</v>
      </c>
    </row>
    <row r="1140" spans="1:6" ht="47.25">
      <c r="A1140" s="136">
        <v>101</v>
      </c>
      <c r="B1140" s="523" t="s">
        <v>3961</v>
      </c>
      <c r="C1140" s="523" t="s">
        <v>286</v>
      </c>
      <c r="D1140" s="523">
        <v>2</v>
      </c>
      <c r="E1140" s="534">
        <v>200000</v>
      </c>
      <c r="F1140" s="556">
        <v>400000</v>
      </c>
    </row>
    <row r="1141" spans="1:6" ht="31.5">
      <c r="A1141" s="136">
        <v>102</v>
      </c>
      <c r="B1141" s="524" t="s">
        <v>3962</v>
      </c>
      <c r="C1141" s="524" t="s">
        <v>286</v>
      </c>
      <c r="D1141" s="524">
        <v>4</v>
      </c>
      <c r="E1141" s="533">
        <v>800000</v>
      </c>
      <c r="F1141" s="555">
        <v>3200000</v>
      </c>
    </row>
    <row r="1142" spans="1:6" ht="31.5">
      <c r="A1142" s="136">
        <v>103</v>
      </c>
      <c r="B1142" s="523" t="s">
        <v>3963</v>
      </c>
      <c r="C1142" s="523" t="s">
        <v>286</v>
      </c>
      <c r="D1142" s="523">
        <v>20</v>
      </c>
      <c r="E1142" s="534">
        <v>30000</v>
      </c>
      <c r="F1142" s="556">
        <v>600000</v>
      </c>
    </row>
    <row r="1143" spans="1:6" ht="15.75">
      <c r="A1143" s="136">
        <v>104</v>
      </c>
      <c r="B1143" s="524" t="s">
        <v>3964</v>
      </c>
      <c r="C1143" s="524" t="s">
        <v>432</v>
      </c>
      <c r="D1143" s="524">
        <v>100</v>
      </c>
      <c r="E1143" s="533">
        <v>16000</v>
      </c>
      <c r="F1143" s="555">
        <v>1600000</v>
      </c>
    </row>
    <row r="1144" spans="1:6" ht="31.5">
      <c r="A1144" s="136">
        <v>105</v>
      </c>
      <c r="B1144" s="523" t="s">
        <v>3965</v>
      </c>
      <c r="C1144" s="523" t="s">
        <v>286</v>
      </c>
      <c r="D1144" s="523">
        <v>2</v>
      </c>
      <c r="E1144" s="534">
        <v>1100000</v>
      </c>
      <c r="F1144" s="556">
        <v>2200000</v>
      </c>
    </row>
    <row r="1145" spans="1:6" ht="15.75">
      <c r="A1145" s="136">
        <v>106</v>
      </c>
      <c r="B1145" s="524" t="s">
        <v>3966</v>
      </c>
      <c r="C1145" s="563" t="s">
        <v>286</v>
      </c>
      <c r="D1145" s="524">
        <v>6</v>
      </c>
      <c r="E1145" s="563">
        <v>85000</v>
      </c>
      <c r="F1145" s="555">
        <v>510000</v>
      </c>
    </row>
    <row r="1146" spans="1:6" ht="15.75">
      <c r="A1146" s="136">
        <v>107</v>
      </c>
      <c r="B1146" s="523" t="s">
        <v>61</v>
      </c>
      <c r="C1146" s="523" t="s">
        <v>286</v>
      </c>
      <c r="D1146" s="523">
        <v>4</v>
      </c>
      <c r="E1146" s="523">
        <v>200000</v>
      </c>
      <c r="F1146" s="556">
        <v>800000</v>
      </c>
    </row>
    <row r="1147" spans="1:6" ht="15.75">
      <c r="A1147" s="136">
        <v>108</v>
      </c>
      <c r="B1147" s="543" t="s">
        <v>25</v>
      </c>
      <c r="C1147" s="524" t="s">
        <v>286</v>
      </c>
      <c r="D1147" s="524">
        <v>60</v>
      </c>
      <c r="E1147" s="524">
        <v>5000</v>
      </c>
      <c r="F1147" s="555">
        <v>300000</v>
      </c>
    </row>
    <row r="1148" spans="1:6" ht="15.75">
      <c r="A1148" s="136">
        <v>109</v>
      </c>
      <c r="B1148" s="549" t="s">
        <v>3967</v>
      </c>
      <c r="C1148" s="523" t="s">
        <v>432</v>
      </c>
      <c r="D1148" s="523">
        <v>50</v>
      </c>
      <c r="E1148" s="523">
        <v>65000</v>
      </c>
      <c r="F1148" s="556">
        <v>3250000</v>
      </c>
    </row>
    <row r="1149" spans="1:6" ht="15.75">
      <c r="A1149" s="136">
        <v>110</v>
      </c>
      <c r="B1149" s="543" t="s">
        <v>3968</v>
      </c>
      <c r="C1149" s="524" t="s">
        <v>286</v>
      </c>
      <c r="D1149" s="524">
        <v>8</v>
      </c>
      <c r="E1149" s="524">
        <v>850000</v>
      </c>
      <c r="F1149" s="555">
        <v>6800000</v>
      </c>
    </row>
    <row r="1150" spans="1:6" ht="15.75">
      <c r="A1150" s="136">
        <v>111</v>
      </c>
      <c r="B1150" s="549" t="s">
        <v>3969</v>
      </c>
      <c r="C1150" s="523" t="s">
        <v>286</v>
      </c>
      <c r="D1150" s="523">
        <v>10</v>
      </c>
      <c r="E1150" s="523">
        <v>90000</v>
      </c>
      <c r="F1150" s="556">
        <v>900000</v>
      </c>
    </row>
    <row r="1151" spans="1:6" ht="15.75">
      <c r="A1151" s="136">
        <v>112</v>
      </c>
      <c r="B1151" s="524" t="s">
        <v>3970</v>
      </c>
      <c r="C1151" s="524" t="s">
        <v>286</v>
      </c>
      <c r="D1151" s="524">
        <v>15</v>
      </c>
      <c r="E1151" s="524">
        <v>210000</v>
      </c>
      <c r="F1151" s="555">
        <v>3150000</v>
      </c>
    </row>
    <row r="1152" spans="1:6" ht="15.75">
      <c r="A1152" s="136">
        <v>113</v>
      </c>
      <c r="B1152" s="621" t="s">
        <v>3971</v>
      </c>
      <c r="C1152" s="562" t="s">
        <v>286</v>
      </c>
      <c r="D1152" s="523">
        <v>4</v>
      </c>
      <c r="E1152" s="562">
        <v>950000</v>
      </c>
      <c r="F1152" s="556">
        <v>3800000</v>
      </c>
    </row>
    <row r="1153" spans="1:6" ht="15.75">
      <c r="A1153" s="136">
        <v>114</v>
      </c>
      <c r="B1153" s="620" t="s">
        <v>3971</v>
      </c>
      <c r="C1153" s="524" t="s">
        <v>286</v>
      </c>
      <c r="D1153" s="524">
        <v>3</v>
      </c>
      <c r="E1153" s="524">
        <v>2800000</v>
      </c>
      <c r="F1153" s="555">
        <v>8400000</v>
      </c>
    </row>
    <row r="1154" spans="1:6" ht="15.75">
      <c r="A1154" s="136">
        <v>115</v>
      </c>
      <c r="B1154" s="549" t="s">
        <v>3972</v>
      </c>
      <c r="C1154" s="523" t="s">
        <v>286</v>
      </c>
      <c r="D1154" s="523">
        <v>3</v>
      </c>
      <c r="E1154" s="523">
        <v>1250000</v>
      </c>
      <c r="F1154" s="556">
        <v>3750000</v>
      </c>
    </row>
    <row r="1155" spans="1:6" ht="15.75">
      <c r="A1155" s="136">
        <v>116</v>
      </c>
      <c r="B1155" s="536" t="s">
        <v>3973</v>
      </c>
      <c r="C1155" s="524" t="s">
        <v>286</v>
      </c>
      <c r="D1155" s="524">
        <v>15</v>
      </c>
      <c r="E1155" s="524">
        <v>70000</v>
      </c>
      <c r="F1155" s="555">
        <v>1050000</v>
      </c>
    </row>
    <row r="1156" spans="1:6" ht="15.75">
      <c r="A1156" s="136">
        <v>117</v>
      </c>
      <c r="B1156" s="549" t="s">
        <v>25</v>
      </c>
      <c r="C1156" s="523" t="s">
        <v>286</v>
      </c>
      <c r="D1156" s="523">
        <v>30</v>
      </c>
      <c r="E1156" s="523">
        <v>5000</v>
      </c>
      <c r="F1156" s="556">
        <v>150000</v>
      </c>
    </row>
    <row r="1157" spans="1:6" ht="15.75">
      <c r="A1157" s="136">
        <v>118</v>
      </c>
      <c r="B1157" s="543" t="s">
        <v>3968</v>
      </c>
      <c r="C1157" s="524" t="s">
        <v>286</v>
      </c>
      <c r="D1157" s="524">
        <v>15</v>
      </c>
      <c r="E1157" s="524">
        <v>500000</v>
      </c>
      <c r="F1157" s="555">
        <v>7500000</v>
      </c>
    </row>
    <row r="1158" spans="1:6" ht="15.75">
      <c r="A1158" s="136">
        <v>119</v>
      </c>
      <c r="B1158" s="523" t="s">
        <v>3970</v>
      </c>
      <c r="C1158" s="523" t="s">
        <v>286</v>
      </c>
      <c r="D1158" s="523">
        <v>15</v>
      </c>
      <c r="E1158" s="523">
        <v>100000</v>
      </c>
      <c r="F1158" s="556">
        <v>1500000</v>
      </c>
    </row>
    <row r="1159" spans="1:6" ht="31.5">
      <c r="A1159" s="136">
        <v>120</v>
      </c>
      <c r="B1159" s="543" t="s">
        <v>3974</v>
      </c>
      <c r="C1159" s="543" t="s">
        <v>286</v>
      </c>
      <c r="D1159" s="524">
        <v>150</v>
      </c>
      <c r="E1159" s="555">
        <v>10000</v>
      </c>
      <c r="F1159" s="555">
        <v>1500000</v>
      </c>
    </row>
    <row r="1160" spans="1:6" ht="15.75">
      <c r="A1160" s="136">
        <v>121</v>
      </c>
      <c r="B1160" s="523" t="s">
        <v>3975</v>
      </c>
      <c r="C1160" s="549" t="s">
        <v>286</v>
      </c>
      <c r="D1160" s="523">
        <v>150</v>
      </c>
      <c r="E1160" s="556">
        <v>8044</v>
      </c>
      <c r="F1160" s="556">
        <v>1206600</v>
      </c>
    </row>
    <row r="1161" spans="1:6" ht="15.75">
      <c r="A1161" s="136">
        <v>122</v>
      </c>
      <c r="B1161" s="639" t="s">
        <v>3976</v>
      </c>
      <c r="C1161" s="543" t="s">
        <v>286</v>
      </c>
      <c r="D1161" s="524">
        <v>150</v>
      </c>
      <c r="E1161" s="555">
        <v>9273</v>
      </c>
      <c r="F1161" s="555">
        <v>1390950</v>
      </c>
    </row>
    <row r="1162" spans="1:6" ht="15.75">
      <c r="A1162" s="136">
        <v>123</v>
      </c>
      <c r="B1162" s="549" t="s">
        <v>3977</v>
      </c>
      <c r="C1162" s="570" t="s">
        <v>432</v>
      </c>
      <c r="D1162" s="549">
        <v>100</v>
      </c>
      <c r="E1162" s="575">
        <v>5000</v>
      </c>
      <c r="F1162" s="556">
        <v>500000</v>
      </c>
    </row>
    <row r="1163" spans="1:6" ht="15.75">
      <c r="A1163" s="136">
        <v>124</v>
      </c>
      <c r="B1163" s="543" t="s">
        <v>3978</v>
      </c>
      <c r="C1163" s="583" t="s">
        <v>432</v>
      </c>
      <c r="D1163" s="543">
        <v>100</v>
      </c>
      <c r="E1163" s="598">
        <v>11857</v>
      </c>
      <c r="F1163" s="555">
        <v>1185700</v>
      </c>
    </row>
    <row r="1164" spans="1:6" ht="31.5">
      <c r="A1164" s="136">
        <v>125</v>
      </c>
      <c r="B1164" s="523" t="s">
        <v>3979</v>
      </c>
      <c r="C1164" s="570" t="s">
        <v>286</v>
      </c>
      <c r="D1164" s="523">
        <v>5</v>
      </c>
      <c r="E1164" s="589">
        <v>1250000</v>
      </c>
      <c r="F1164" s="556">
        <v>6250000</v>
      </c>
    </row>
    <row r="1165" spans="1:6" ht="31.5">
      <c r="A1165" s="136">
        <v>126</v>
      </c>
      <c r="B1165" s="543" t="s">
        <v>3980</v>
      </c>
      <c r="C1165" s="547" t="s">
        <v>286</v>
      </c>
      <c r="D1165" s="543">
        <v>2</v>
      </c>
      <c r="E1165" s="612">
        <v>380000</v>
      </c>
      <c r="F1165" s="555">
        <v>760000</v>
      </c>
    </row>
    <row r="1166" spans="1:6" ht="15.75">
      <c r="A1166" s="136">
        <v>127</v>
      </c>
      <c r="B1166" s="549" t="s">
        <v>3978</v>
      </c>
      <c r="C1166" s="545" t="s">
        <v>432</v>
      </c>
      <c r="D1166" s="549">
        <v>90</v>
      </c>
      <c r="E1166" s="626">
        <v>13000</v>
      </c>
      <c r="F1166" s="556">
        <v>1170000</v>
      </c>
    </row>
    <row r="1167" spans="1:6" ht="31.5">
      <c r="A1167" s="136">
        <v>128</v>
      </c>
      <c r="B1167" s="543" t="s">
        <v>3981</v>
      </c>
      <c r="C1167" s="547" t="s">
        <v>286</v>
      </c>
      <c r="D1167" s="543">
        <v>2</v>
      </c>
      <c r="E1167" s="640">
        <v>3150000</v>
      </c>
      <c r="F1167" s="555">
        <v>6300000</v>
      </c>
    </row>
    <row r="1168" spans="1:6" ht="31.5">
      <c r="A1168" s="136">
        <v>129</v>
      </c>
      <c r="B1168" s="549" t="s">
        <v>3982</v>
      </c>
      <c r="C1168" s="545" t="s">
        <v>68</v>
      </c>
      <c r="D1168" s="579">
        <v>100</v>
      </c>
      <c r="E1168" s="531">
        <v>15000</v>
      </c>
      <c r="F1168" s="531">
        <v>1500000</v>
      </c>
    </row>
    <row r="1169" spans="1:6" ht="31.5">
      <c r="A1169" s="136">
        <v>130</v>
      </c>
      <c r="B1169" s="547" t="s">
        <v>3983</v>
      </c>
      <c r="C1169" s="547" t="s">
        <v>286</v>
      </c>
      <c r="D1169" s="547">
        <v>1</v>
      </c>
      <c r="E1169" s="526">
        <v>650000</v>
      </c>
      <c r="F1169" s="532">
        <v>650000</v>
      </c>
    </row>
    <row r="1170" spans="1:6" ht="31.5">
      <c r="A1170" s="136">
        <v>131</v>
      </c>
      <c r="B1170" s="545" t="s">
        <v>3984</v>
      </c>
      <c r="C1170" s="545" t="s">
        <v>286</v>
      </c>
      <c r="D1170" s="545">
        <v>1</v>
      </c>
      <c r="E1170" s="527">
        <v>1125000</v>
      </c>
      <c r="F1170" s="531">
        <v>1125000</v>
      </c>
    </row>
    <row r="1171" spans="1:6" ht="15.75">
      <c r="A1171" s="136">
        <v>132</v>
      </c>
      <c r="B1171" s="547" t="s">
        <v>3985</v>
      </c>
      <c r="C1171" s="547" t="s">
        <v>68</v>
      </c>
      <c r="D1171" s="547">
        <v>300</v>
      </c>
      <c r="E1171" s="526">
        <v>12000</v>
      </c>
      <c r="F1171" s="532">
        <v>3600000</v>
      </c>
    </row>
    <row r="1172" spans="1:6" ht="15.75">
      <c r="A1172" s="136">
        <v>133</v>
      </c>
      <c r="B1172" s="545" t="s">
        <v>3986</v>
      </c>
      <c r="C1172" s="545" t="s">
        <v>286</v>
      </c>
      <c r="D1172" s="545">
        <v>4</v>
      </c>
      <c r="E1172" s="527">
        <v>480000</v>
      </c>
      <c r="F1172" s="531">
        <v>1920000</v>
      </c>
    </row>
    <row r="1173" spans="1:6" ht="31.5">
      <c r="A1173" s="136">
        <v>134</v>
      </c>
      <c r="B1173" s="547" t="s">
        <v>3987</v>
      </c>
      <c r="C1173" s="547" t="s">
        <v>286</v>
      </c>
      <c r="D1173" s="547">
        <v>4</v>
      </c>
      <c r="E1173" s="526">
        <v>250000</v>
      </c>
      <c r="F1173" s="532">
        <v>1000000</v>
      </c>
    </row>
    <row r="1174" spans="1:6" ht="15.75">
      <c r="A1174" s="136">
        <v>135</v>
      </c>
      <c r="B1174" s="573" t="s">
        <v>3988</v>
      </c>
      <c r="C1174" s="545" t="s">
        <v>286</v>
      </c>
      <c r="D1174" s="633">
        <v>70</v>
      </c>
      <c r="E1174" s="527">
        <v>4500</v>
      </c>
      <c r="F1174" s="531">
        <v>315000</v>
      </c>
    </row>
    <row r="1175" spans="1:6" ht="31.5">
      <c r="A1175" s="136">
        <v>136</v>
      </c>
      <c r="B1175" s="547" t="s">
        <v>3989</v>
      </c>
      <c r="C1175" s="547" t="s">
        <v>286</v>
      </c>
      <c r="D1175" s="547">
        <v>20</v>
      </c>
      <c r="E1175" s="526">
        <v>15000</v>
      </c>
      <c r="F1175" s="532">
        <v>300000</v>
      </c>
    </row>
    <row r="1176" spans="1:6" ht="31.5">
      <c r="A1176" s="136">
        <v>137</v>
      </c>
      <c r="B1176" s="545" t="s">
        <v>3990</v>
      </c>
      <c r="C1176" s="545" t="s">
        <v>286</v>
      </c>
      <c r="D1176" s="545">
        <v>20</v>
      </c>
      <c r="E1176" s="527">
        <v>10000</v>
      </c>
      <c r="F1176" s="531">
        <v>200000</v>
      </c>
    </row>
    <row r="1177" spans="1:6" ht="15.75">
      <c r="A1177" s="136">
        <v>138</v>
      </c>
      <c r="B1177" s="547" t="s">
        <v>3991</v>
      </c>
      <c r="C1177" s="547" t="s">
        <v>286</v>
      </c>
      <c r="D1177" s="547">
        <v>3</v>
      </c>
      <c r="E1177" s="526">
        <v>150000</v>
      </c>
      <c r="F1177" s="532">
        <v>450000</v>
      </c>
    </row>
    <row r="1178" spans="1:6" ht="31.5">
      <c r="A1178" s="136">
        <v>139</v>
      </c>
      <c r="B1178" s="573" t="s">
        <v>3992</v>
      </c>
      <c r="C1178" s="545" t="s">
        <v>286</v>
      </c>
      <c r="D1178" s="549">
        <v>20</v>
      </c>
      <c r="E1178" s="527">
        <v>30000</v>
      </c>
      <c r="F1178" s="531">
        <v>600000</v>
      </c>
    </row>
    <row r="1179" spans="1:6" ht="15.75">
      <c r="A1179" s="136">
        <v>140</v>
      </c>
      <c r="B1179" s="547" t="s">
        <v>3993</v>
      </c>
      <c r="C1179" s="547" t="s">
        <v>286</v>
      </c>
      <c r="D1179" s="547">
        <v>20</v>
      </c>
      <c r="E1179" s="526">
        <v>20000</v>
      </c>
      <c r="F1179" s="532">
        <v>400000</v>
      </c>
    </row>
    <row r="1180" spans="1:6" ht="15.75">
      <c r="A1180" s="136">
        <v>141</v>
      </c>
      <c r="B1180" s="549" t="s">
        <v>3994</v>
      </c>
      <c r="C1180" s="545" t="s">
        <v>286</v>
      </c>
      <c r="D1180" s="549">
        <v>8</v>
      </c>
      <c r="E1180" s="527">
        <v>50000</v>
      </c>
      <c r="F1180" s="531">
        <v>400000</v>
      </c>
    </row>
    <row r="1181" spans="1:6" ht="15.75">
      <c r="A1181" s="136">
        <v>142</v>
      </c>
      <c r="B1181" s="641" t="s">
        <v>3995</v>
      </c>
      <c r="C1181" s="578" t="s">
        <v>286</v>
      </c>
      <c r="D1181" s="600">
        <v>8</v>
      </c>
      <c r="E1181" s="600">
        <v>178000</v>
      </c>
      <c r="F1181" s="532">
        <v>1424000</v>
      </c>
    </row>
    <row r="1182" spans="1:6" ht="31.5">
      <c r="A1182" s="136">
        <v>143</v>
      </c>
      <c r="B1182" s="642" t="s">
        <v>3996</v>
      </c>
      <c r="C1182" s="579" t="s">
        <v>286</v>
      </c>
      <c r="D1182" s="601">
        <v>10</v>
      </c>
      <c r="E1182" s="601">
        <v>270000</v>
      </c>
      <c r="F1182" s="531">
        <v>2700000</v>
      </c>
    </row>
    <row r="1183" spans="1:6" ht="39" customHeight="1">
      <c r="A1183" s="136"/>
      <c r="B1183" s="1254" t="s">
        <v>3998</v>
      </c>
      <c r="C1183" s="1255"/>
      <c r="D1183" s="1255"/>
      <c r="E1183" s="1255"/>
      <c r="F1183" s="1255"/>
    </row>
    <row r="1184" spans="1:6" ht="31.5">
      <c r="A1184" s="136">
        <v>1</v>
      </c>
      <c r="B1184" s="573" t="s">
        <v>3822</v>
      </c>
      <c r="C1184" s="545" t="s">
        <v>286</v>
      </c>
      <c r="D1184" s="545">
        <v>50</v>
      </c>
      <c r="E1184" s="617">
        <v>8600</v>
      </c>
      <c r="F1184" s="556">
        <v>430000</v>
      </c>
    </row>
    <row r="1185" spans="1:6" ht="15.75">
      <c r="A1185" s="136">
        <v>2</v>
      </c>
      <c r="B1185" s="524" t="s">
        <v>3999</v>
      </c>
      <c r="C1185" s="547" t="s">
        <v>27</v>
      </c>
      <c r="D1185" s="547">
        <v>20</v>
      </c>
      <c r="E1185" s="618">
        <v>32000</v>
      </c>
      <c r="F1185" s="555">
        <v>640000</v>
      </c>
    </row>
    <row r="1186" spans="1:6" ht="15.75">
      <c r="A1186" s="136">
        <v>3</v>
      </c>
      <c r="B1186" s="537" t="s">
        <v>4000</v>
      </c>
      <c r="C1186" s="537" t="s">
        <v>286</v>
      </c>
      <c r="D1186" s="537">
        <v>1</v>
      </c>
      <c r="E1186" s="580">
        <v>60000</v>
      </c>
      <c r="F1186" s="556">
        <v>60000</v>
      </c>
    </row>
    <row r="1187" spans="1:6" ht="31.5">
      <c r="A1187" s="136">
        <v>4</v>
      </c>
      <c r="B1187" s="543" t="s">
        <v>4001</v>
      </c>
      <c r="C1187" s="543" t="s">
        <v>286</v>
      </c>
      <c r="D1187" s="543">
        <v>2</v>
      </c>
      <c r="E1187" s="554">
        <v>6500000</v>
      </c>
      <c r="F1187" s="555">
        <v>13000000</v>
      </c>
    </row>
    <row r="1188" spans="1:6" ht="31.5">
      <c r="A1188" s="136">
        <v>5</v>
      </c>
      <c r="B1188" s="549" t="s">
        <v>4002</v>
      </c>
      <c r="C1188" s="549" t="s">
        <v>286</v>
      </c>
      <c r="D1188" s="549">
        <v>2</v>
      </c>
      <c r="E1188" s="553">
        <v>1800000</v>
      </c>
      <c r="F1188" s="556">
        <v>3600000</v>
      </c>
    </row>
    <row r="1189" spans="1:6" ht="15.75">
      <c r="A1189" s="136">
        <v>6</v>
      </c>
      <c r="B1189" s="524" t="s">
        <v>4003</v>
      </c>
      <c r="C1189" s="547" t="s">
        <v>27</v>
      </c>
      <c r="D1189" s="548">
        <v>100</v>
      </c>
      <c r="E1189" s="526">
        <v>8000</v>
      </c>
      <c r="F1189" s="555">
        <v>800000</v>
      </c>
    </row>
    <row r="1190" spans="1:6" ht="15.75">
      <c r="A1190" s="136">
        <v>7</v>
      </c>
      <c r="B1190" s="523" t="s">
        <v>4004</v>
      </c>
      <c r="C1190" s="545" t="s">
        <v>286</v>
      </c>
      <c r="D1190" s="546">
        <v>10</v>
      </c>
      <c r="E1190" s="565">
        <v>85000</v>
      </c>
      <c r="F1190" s="556">
        <v>850000</v>
      </c>
    </row>
    <row r="1191" spans="1:6" ht="15.75">
      <c r="A1191" s="136">
        <v>8</v>
      </c>
      <c r="B1191" s="524" t="s">
        <v>4005</v>
      </c>
      <c r="C1191" s="547" t="s">
        <v>286</v>
      </c>
      <c r="D1191" s="548">
        <v>12</v>
      </c>
      <c r="E1191" s="526">
        <v>350000</v>
      </c>
      <c r="F1191" s="555">
        <v>4200000</v>
      </c>
    </row>
    <row r="1192" spans="1:6" ht="31.5">
      <c r="A1192" s="136">
        <v>9</v>
      </c>
      <c r="B1192" s="549" t="s">
        <v>4006</v>
      </c>
      <c r="C1192" s="545" t="s">
        <v>27</v>
      </c>
      <c r="D1192" s="545">
        <v>20</v>
      </c>
      <c r="E1192" s="550">
        <v>60000</v>
      </c>
      <c r="F1192" s="556">
        <v>1200000</v>
      </c>
    </row>
    <row r="1193" spans="1:6" ht="15.75">
      <c r="A1193" s="136">
        <v>10</v>
      </c>
      <c r="B1193" s="543" t="s">
        <v>4007</v>
      </c>
      <c r="C1193" s="543" t="s">
        <v>27</v>
      </c>
      <c r="D1193" s="551">
        <v>20</v>
      </c>
      <c r="E1193" s="551">
        <v>85000</v>
      </c>
      <c r="F1193" s="555">
        <v>1700000</v>
      </c>
    </row>
    <row r="1194" spans="1:6" ht="15.75">
      <c r="A1194" s="136">
        <v>11</v>
      </c>
      <c r="B1194" s="549" t="s">
        <v>4008</v>
      </c>
      <c r="C1194" s="549" t="s">
        <v>27</v>
      </c>
      <c r="D1194" s="550">
        <v>135</v>
      </c>
      <c r="E1194" s="550">
        <v>100050</v>
      </c>
      <c r="F1194" s="556">
        <v>13506750</v>
      </c>
    </row>
    <row r="1195" spans="1:6" ht="15.75">
      <c r="A1195" s="136">
        <v>12</v>
      </c>
      <c r="B1195" s="543" t="s">
        <v>4009</v>
      </c>
      <c r="C1195" s="543" t="s">
        <v>27</v>
      </c>
      <c r="D1195" s="551">
        <v>2</v>
      </c>
      <c r="E1195" s="551">
        <v>84600</v>
      </c>
      <c r="F1195" s="555">
        <v>169200</v>
      </c>
    </row>
    <row r="1196" spans="1:6" ht="15.75">
      <c r="A1196" s="136">
        <v>13</v>
      </c>
      <c r="B1196" s="549" t="s">
        <v>4010</v>
      </c>
      <c r="C1196" s="549" t="s">
        <v>27</v>
      </c>
      <c r="D1196" s="550">
        <v>2</v>
      </c>
      <c r="E1196" s="550">
        <v>94600</v>
      </c>
      <c r="F1196" s="556">
        <v>189200</v>
      </c>
    </row>
    <row r="1197" spans="1:6" ht="15.75">
      <c r="A1197" s="136">
        <v>14</v>
      </c>
      <c r="B1197" s="543" t="s">
        <v>4011</v>
      </c>
      <c r="C1197" s="543" t="s">
        <v>27</v>
      </c>
      <c r="D1197" s="551">
        <v>4</v>
      </c>
      <c r="E1197" s="551">
        <v>78500</v>
      </c>
      <c r="F1197" s="555">
        <v>314000</v>
      </c>
    </row>
    <row r="1198" spans="1:6" ht="15.75">
      <c r="A1198" s="136">
        <v>15</v>
      </c>
      <c r="B1198" s="549" t="s">
        <v>4012</v>
      </c>
      <c r="C1198" s="549" t="s">
        <v>27</v>
      </c>
      <c r="D1198" s="550">
        <v>2</v>
      </c>
      <c r="E1198" s="550">
        <v>84000</v>
      </c>
      <c r="F1198" s="556">
        <v>168000</v>
      </c>
    </row>
    <row r="1199" spans="1:6" ht="15.75">
      <c r="A1199" s="136">
        <v>16</v>
      </c>
      <c r="B1199" s="543" t="s">
        <v>4013</v>
      </c>
      <c r="C1199" s="543" t="s">
        <v>27</v>
      </c>
      <c r="D1199" s="551">
        <v>2</v>
      </c>
      <c r="E1199" s="551">
        <v>140000</v>
      </c>
      <c r="F1199" s="555">
        <v>280000</v>
      </c>
    </row>
    <row r="1200" spans="1:6" ht="15.75">
      <c r="A1200" s="136">
        <v>17</v>
      </c>
      <c r="B1200" s="549" t="s">
        <v>4014</v>
      </c>
      <c r="C1200" s="549" t="s">
        <v>27</v>
      </c>
      <c r="D1200" s="550">
        <v>1</v>
      </c>
      <c r="E1200" s="550">
        <v>120000</v>
      </c>
      <c r="F1200" s="556">
        <v>120000</v>
      </c>
    </row>
    <row r="1201" spans="1:6" ht="15.75">
      <c r="A1201" s="136">
        <v>18</v>
      </c>
      <c r="B1201" s="543" t="s">
        <v>4015</v>
      </c>
      <c r="C1201" s="543" t="s">
        <v>27</v>
      </c>
      <c r="D1201" s="551">
        <v>1</v>
      </c>
      <c r="E1201" s="551">
        <v>135000</v>
      </c>
      <c r="F1201" s="555">
        <v>135000</v>
      </c>
    </row>
    <row r="1202" spans="1:6" ht="15.75">
      <c r="A1202" s="136">
        <v>19</v>
      </c>
      <c r="B1202" s="549" t="s">
        <v>4016</v>
      </c>
      <c r="C1202" s="549" t="s">
        <v>27</v>
      </c>
      <c r="D1202" s="550">
        <v>20</v>
      </c>
      <c r="E1202" s="550">
        <v>40000</v>
      </c>
      <c r="F1202" s="556">
        <v>800000</v>
      </c>
    </row>
    <row r="1203" spans="1:6" ht="15.75">
      <c r="A1203" s="136">
        <v>20</v>
      </c>
      <c r="B1203" s="543" t="s">
        <v>4017</v>
      </c>
      <c r="C1203" s="543" t="s">
        <v>27</v>
      </c>
      <c r="D1203" s="551">
        <v>150</v>
      </c>
      <c r="E1203" s="551">
        <v>8000</v>
      </c>
      <c r="F1203" s="555">
        <v>1200000</v>
      </c>
    </row>
    <row r="1204" spans="1:6" ht="15.75">
      <c r="A1204" s="136">
        <v>21</v>
      </c>
      <c r="B1204" s="549" t="s">
        <v>4007</v>
      </c>
      <c r="C1204" s="549" t="s">
        <v>27</v>
      </c>
      <c r="D1204" s="550">
        <v>10</v>
      </c>
      <c r="E1204" s="550">
        <v>150000</v>
      </c>
      <c r="F1204" s="556">
        <v>1500000</v>
      </c>
    </row>
    <row r="1205" spans="1:6" ht="15.75">
      <c r="A1205" s="136">
        <v>22</v>
      </c>
      <c r="B1205" s="543" t="s">
        <v>4018</v>
      </c>
      <c r="C1205" s="543" t="s">
        <v>286</v>
      </c>
      <c r="D1205" s="551">
        <v>350</v>
      </c>
      <c r="E1205" s="551">
        <v>30000</v>
      </c>
      <c r="F1205" s="555">
        <v>10500000</v>
      </c>
    </row>
    <row r="1206" spans="1:6" ht="15.75">
      <c r="A1206" s="136">
        <v>23</v>
      </c>
      <c r="B1206" s="549" t="s">
        <v>4009</v>
      </c>
      <c r="C1206" s="549" t="s">
        <v>27</v>
      </c>
      <c r="D1206" s="550">
        <v>2</v>
      </c>
      <c r="E1206" s="550">
        <v>80000</v>
      </c>
      <c r="F1206" s="556">
        <v>160000</v>
      </c>
    </row>
    <row r="1207" spans="1:6" ht="15.75">
      <c r="A1207" s="136">
        <v>24</v>
      </c>
      <c r="B1207" s="543" t="s">
        <v>4010</v>
      </c>
      <c r="C1207" s="543" t="s">
        <v>27</v>
      </c>
      <c r="D1207" s="551">
        <v>1</v>
      </c>
      <c r="E1207" s="551">
        <v>200000</v>
      </c>
      <c r="F1207" s="555">
        <v>200000</v>
      </c>
    </row>
    <row r="1208" spans="1:6" ht="15.75">
      <c r="A1208" s="136">
        <v>25</v>
      </c>
      <c r="B1208" s="549" t="s">
        <v>4011</v>
      </c>
      <c r="C1208" s="549" t="s">
        <v>27</v>
      </c>
      <c r="D1208" s="550">
        <v>2</v>
      </c>
      <c r="E1208" s="550">
        <v>300000</v>
      </c>
      <c r="F1208" s="556">
        <v>600000</v>
      </c>
    </row>
    <row r="1209" spans="1:6" ht="15.75">
      <c r="A1209" s="136">
        <v>26</v>
      </c>
      <c r="B1209" s="543" t="s">
        <v>4012</v>
      </c>
      <c r="C1209" s="543" t="s">
        <v>27</v>
      </c>
      <c r="D1209" s="551">
        <v>2</v>
      </c>
      <c r="E1209" s="551">
        <v>84000</v>
      </c>
      <c r="F1209" s="555">
        <v>168000</v>
      </c>
    </row>
    <row r="1210" spans="1:6" ht="15.75">
      <c r="A1210" s="136">
        <v>27</v>
      </c>
      <c r="B1210" s="549" t="s">
        <v>4013</v>
      </c>
      <c r="C1210" s="549" t="s">
        <v>27</v>
      </c>
      <c r="D1210" s="550">
        <v>2</v>
      </c>
      <c r="E1210" s="550">
        <v>168000</v>
      </c>
      <c r="F1210" s="556">
        <v>336000</v>
      </c>
    </row>
    <row r="1211" spans="1:6" ht="15.75">
      <c r="A1211" s="136">
        <v>28</v>
      </c>
      <c r="B1211" s="543" t="s">
        <v>4014</v>
      </c>
      <c r="C1211" s="543" t="s">
        <v>27</v>
      </c>
      <c r="D1211" s="551">
        <v>1</v>
      </c>
      <c r="E1211" s="551">
        <v>120000</v>
      </c>
      <c r="F1211" s="555">
        <v>120000</v>
      </c>
    </row>
    <row r="1212" spans="1:6" ht="15.75">
      <c r="A1212" s="136">
        <v>29</v>
      </c>
      <c r="B1212" s="549" t="s">
        <v>4015</v>
      </c>
      <c r="C1212" s="549" t="s">
        <v>27</v>
      </c>
      <c r="D1212" s="550">
        <v>1</v>
      </c>
      <c r="E1212" s="550">
        <v>130000</v>
      </c>
      <c r="F1212" s="556">
        <v>130000</v>
      </c>
    </row>
    <row r="1213" spans="1:6" ht="15.75">
      <c r="A1213" s="136">
        <v>30</v>
      </c>
      <c r="B1213" s="543" t="s">
        <v>4016</v>
      </c>
      <c r="C1213" s="543" t="s">
        <v>27</v>
      </c>
      <c r="D1213" s="551">
        <v>10</v>
      </c>
      <c r="E1213" s="551">
        <v>40000</v>
      </c>
      <c r="F1213" s="555">
        <v>400000</v>
      </c>
    </row>
    <row r="1214" spans="1:6" ht="15.75">
      <c r="A1214" s="136">
        <v>31</v>
      </c>
      <c r="B1214" s="549" t="s">
        <v>4017</v>
      </c>
      <c r="C1214" s="549" t="s">
        <v>27</v>
      </c>
      <c r="D1214" s="550">
        <v>200</v>
      </c>
      <c r="E1214" s="550">
        <v>7000</v>
      </c>
      <c r="F1214" s="556">
        <v>1400000</v>
      </c>
    </row>
    <row r="1215" spans="1:6" ht="31.5">
      <c r="A1215" s="136">
        <v>32</v>
      </c>
      <c r="B1215" s="543" t="s">
        <v>4019</v>
      </c>
      <c r="C1215" s="547" t="s">
        <v>286</v>
      </c>
      <c r="D1215" s="548">
        <v>2</v>
      </c>
      <c r="E1215" s="526">
        <v>2750000</v>
      </c>
      <c r="F1215" s="532">
        <v>5500000</v>
      </c>
    </row>
    <row r="1216" spans="1:6" ht="31.5">
      <c r="A1216" s="136">
        <v>33</v>
      </c>
      <c r="B1216" s="549" t="s">
        <v>4020</v>
      </c>
      <c r="C1216" s="545" t="s">
        <v>286</v>
      </c>
      <c r="D1216" s="546">
        <v>2</v>
      </c>
      <c r="E1216" s="527">
        <v>750000</v>
      </c>
      <c r="F1216" s="531">
        <v>1500000</v>
      </c>
    </row>
    <row r="1217" spans="1:6" ht="31.5">
      <c r="A1217" s="136">
        <v>34</v>
      </c>
      <c r="B1217" s="543" t="s">
        <v>4021</v>
      </c>
      <c r="C1217" s="547" t="s">
        <v>286</v>
      </c>
      <c r="D1217" s="548">
        <v>12</v>
      </c>
      <c r="E1217" s="526">
        <v>150000</v>
      </c>
      <c r="F1217" s="532">
        <v>1800000</v>
      </c>
    </row>
    <row r="1218" spans="1:6" ht="31.5">
      <c r="A1218" s="136">
        <v>35</v>
      </c>
      <c r="B1218" s="549" t="s">
        <v>4022</v>
      </c>
      <c r="C1218" s="545" t="s">
        <v>286</v>
      </c>
      <c r="D1218" s="546">
        <v>3</v>
      </c>
      <c r="E1218" s="527">
        <v>300000</v>
      </c>
      <c r="F1218" s="531">
        <v>900000</v>
      </c>
    </row>
    <row r="1219" spans="1:6" ht="15.75">
      <c r="A1219" s="136">
        <v>36</v>
      </c>
      <c r="B1219" s="543" t="s">
        <v>4023</v>
      </c>
      <c r="C1219" s="547" t="s">
        <v>286</v>
      </c>
      <c r="D1219" s="548">
        <v>10</v>
      </c>
      <c r="E1219" s="526">
        <v>70000</v>
      </c>
      <c r="F1219" s="532">
        <v>700000</v>
      </c>
    </row>
    <row r="1220" spans="1:6" ht="47.25">
      <c r="A1220" s="136">
        <v>37</v>
      </c>
      <c r="B1220" s="549" t="s">
        <v>4024</v>
      </c>
      <c r="C1220" s="545" t="s">
        <v>286</v>
      </c>
      <c r="D1220" s="546">
        <v>4</v>
      </c>
      <c r="E1220" s="527">
        <v>750000</v>
      </c>
      <c r="F1220" s="531">
        <v>3000000</v>
      </c>
    </row>
    <row r="1221" spans="1:6" ht="15.75">
      <c r="A1221" s="136">
        <v>38</v>
      </c>
      <c r="B1221" s="543" t="s">
        <v>4007</v>
      </c>
      <c r="C1221" s="578" t="s">
        <v>27</v>
      </c>
      <c r="D1221" s="600">
        <v>10</v>
      </c>
      <c r="E1221" s="600">
        <v>150000</v>
      </c>
      <c r="F1221" s="532">
        <v>1500000</v>
      </c>
    </row>
    <row r="1222" spans="1:6" ht="15.75">
      <c r="A1222" s="136">
        <v>39</v>
      </c>
      <c r="B1222" s="549" t="s">
        <v>4025</v>
      </c>
      <c r="C1222" s="579" t="s">
        <v>27</v>
      </c>
      <c r="D1222" s="601">
        <v>10</v>
      </c>
      <c r="E1222" s="601">
        <v>250000</v>
      </c>
      <c r="F1222" s="531">
        <v>2500000</v>
      </c>
    </row>
    <row r="1223" spans="1:6" ht="15.75">
      <c r="A1223" s="136">
        <v>40</v>
      </c>
      <c r="B1223" s="543" t="s">
        <v>4026</v>
      </c>
      <c r="C1223" s="578" t="s">
        <v>27</v>
      </c>
      <c r="D1223" s="600">
        <v>20</v>
      </c>
      <c r="E1223" s="600">
        <v>280000</v>
      </c>
      <c r="F1223" s="532">
        <v>5600000</v>
      </c>
    </row>
    <row r="1224" spans="1:6" ht="15.75">
      <c r="A1224" s="136">
        <v>41</v>
      </c>
      <c r="B1224" s="549" t="s">
        <v>4027</v>
      </c>
      <c r="C1224" s="579" t="s">
        <v>27</v>
      </c>
      <c r="D1224" s="601">
        <v>20</v>
      </c>
      <c r="E1224" s="601">
        <v>270000</v>
      </c>
      <c r="F1224" s="531">
        <v>5400000</v>
      </c>
    </row>
    <row r="1225" spans="1:6" ht="15.75">
      <c r="A1225" s="136">
        <v>42</v>
      </c>
      <c r="B1225" s="543" t="s">
        <v>1134</v>
      </c>
      <c r="C1225" s="578" t="s">
        <v>27</v>
      </c>
      <c r="D1225" s="600">
        <v>20</v>
      </c>
      <c r="E1225" s="600">
        <v>40000</v>
      </c>
      <c r="F1225" s="532">
        <v>800000</v>
      </c>
    </row>
    <row r="1226" spans="1:6">
      <c r="A1226" s="136"/>
      <c r="B1226" s="1255" t="s">
        <v>4028</v>
      </c>
      <c r="C1226" s="1255"/>
      <c r="D1226" s="1255"/>
      <c r="E1226" s="1255"/>
      <c r="F1226" s="1255"/>
    </row>
    <row r="1227" spans="1:6" ht="31.5">
      <c r="A1227" s="136">
        <v>1</v>
      </c>
      <c r="B1227" s="523" t="s">
        <v>4029</v>
      </c>
      <c r="C1227" s="537" t="s">
        <v>3630</v>
      </c>
      <c r="D1227" s="537">
        <v>1</v>
      </c>
      <c r="E1227" s="580">
        <v>18000000</v>
      </c>
      <c r="F1227" s="556">
        <v>18000000</v>
      </c>
    </row>
    <row r="1228" spans="1:6" ht="31.5">
      <c r="A1228" s="136">
        <v>2</v>
      </c>
      <c r="B1228" s="543" t="s">
        <v>4030</v>
      </c>
      <c r="C1228" s="524" t="s">
        <v>286</v>
      </c>
      <c r="D1228" s="543">
        <v>3</v>
      </c>
      <c r="E1228" s="554">
        <v>10000000</v>
      </c>
      <c r="F1228" s="555">
        <v>30000000</v>
      </c>
    </row>
    <row r="1229" spans="1:6" ht="15.75">
      <c r="A1229" s="136">
        <v>3</v>
      </c>
      <c r="B1229" s="523" t="s">
        <v>4031</v>
      </c>
      <c r="C1229" s="523" t="s">
        <v>286</v>
      </c>
      <c r="D1229" s="523">
        <v>4</v>
      </c>
      <c r="E1229" s="616">
        <v>75000</v>
      </c>
      <c r="F1229" s="556">
        <v>300000</v>
      </c>
    </row>
    <row r="1230" spans="1:6" ht="15.75">
      <c r="A1230" s="136">
        <v>4</v>
      </c>
      <c r="B1230" s="524" t="s">
        <v>4032</v>
      </c>
      <c r="C1230" s="524" t="s">
        <v>286</v>
      </c>
      <c r="D1230" s="524">
        <v>4</v>
      </c>
      <c r="E1230" s="615">
        <v>80000</v>
      </c>
      <c r="F1230" s="555">
        <v>320000</v>
      </c>
    </row>
    <row r="1231" spans="1:6" ht="15.75">
      <c r="A1231" s="136">
        <v>5</v>
      </c>
      <c r="B1231" s="523" t="s">
        <v>4033</v>
      </c>
      <c r="C1231" s="523" t="s">
        <v>286</v>
      </c>
      <c r="D1231" s="523">
        <v>4</v>
      </c>
      <c r="E1231" s="616">
        <v>90000</v>
      </c>
      <c r="F1231" s="556">
        <v>360000</v>
      </c>
    </row>
    <row r="1232" spans="1:6" ht="15.75">
      <c r="A1232" s="136">
        <v>6</v>
      </c>
      <c r="B1232" s="524" t="s">
        <v>4034</v>
      </c>
      <c r="C1232" s="524" t="s">
        <v>286</v>
      </c>
      <c r="D1232" s="524">
        <v>8</v>
      </c>
      <c r="E1232" s="615">
        <v>20000</v>
      </c>
      <c r="F1232" s="555">
        <v>160000</v>
      </c>
    </row>
    <row r="1233" spans="1:6" ht="15.75">
      <c r="A1233" s="136">
        <v>7</v>
      </c>
      <c r="B1233" s="523" t="s">
        <v>4035</v>
      </c>
      <c r="C1233" s="523" t="s">
        <v>286</v>
      </c>
      <c r="D1233" s="523">
        <v>6</v>
      </c>
      <c r="E1233" s="616">
        <v>20000</v>
      </c>
      <c r="F1233" s="556">
        <v>120000</v>
      </c>
    </row>
    <row r="1234" spans="1:6" ht="15.75">
      <c r="A1234" s="136">
        <v>8</v>
      </c>
      <c r="B1234" s="524" t="s">
        <v>4036</v>
      </c>
      <c r="C1234" s="524" t="s">
        <v>286</v>
      </c>
      <c r="D1234" s="524">
        <v>6</v>
      </c>
      <c r="E1234" s="615">
        <v>57000</v>
      </c>
      <c r="F1234" s="555">
        <v>342000</v>
      </c>
    </row>
    <row r="1235" spans="1:6" ht="15.75">
      <c r="A1235" s="136">
        <v>9</v>
      </c>
      <c r="B1235" s="523" t="s">
        <v>4037</v>
      </c>
      <c r="C1235" s="523" t="s">
        <v>286</v>
      </c>
      <c r="D1235" s="523">
        <v>4</v>
      </c>
      <c r="E1235" s="616">
        <v>288800</v>
      </c>
      <c r="F1235" s="556">
        <v>1155200</v>
      </c>
    </row>
    <row r="1236" spans="1:6" ht="31.5">
      <c r="A1236" s="136">
        <v>10</v>
      </c>
      <c r="B1236" s="643" t="s">
        <v>4038</v>
      </c>
      <c r="C1236" s="524" t="s">
        <v>3525</v>
      </c>
      <c r="D1236" s="643">
        <v>1</v>
      </c>
      <c r="E1236" s="643">
        <v>4600000</v>
      </c>
      <c r="F1236" s="555">
        <v>4600000</v>
      </c>
    </row>
    <row r="1237" spans="1:6" ht="31.5">
      <c r="A1237" s="136">
        <v>11</v>
      </c>
      <c r="B1237" s="625" t="s">
        <v>4039</v>
      </c>
      <c r="C1237" s="523" t="s">
        <v>3525</v>
      </c>
      <c r="D1237" s="625">
        <v>1</v>
      </c>
      <c r="E1237" s="625">
        <v>3800000</v>
      </c>
      <c r="F1237" s="556">
        <v>3800000</v>
      </c>
    </row>
    <row r="1238" spans="1:6" ht="31.5">
      <c r="A1238" s="136">
        <v>12</v>
      </c>
      <c r="B1238" s="524" t="s">
        <v>4040</v>
      </c>
      <c r="C1238" s="524" t="s">
        <v>286</v>
      </c>
      <c r="D1238" s="524">
        <v>76</v>
      </c>
      <c r="E1238" s="524">
        <v>50000</v>
      </c>
      <c r="F1238" s="555">
        <v>3800000</v>
      </c>
    </row>
    <row r="1239" spans="1:6" ht="15.75">
      <c r="A1239" s="136">
        <v>13</v>
      </c>
      <c r="B1239" s="523" t="s">
        <v>4041</v>
      </c>
      <c r="C1239" s="523" t="s">
        <v>432</v>
      </c>
      <c r="D1239" s="523">
        <v>30</v>
      </c>
      <c r="E1239" s="523">
        <v>42000</v>
      </c>
      <c r="F1239" s="556">
        <v>1260000</v>
      </c>
    </row>
    <row r="1240" spans="1:6" ht="15.75">
      <c r="A1240" s="136">
        <v>14</v>
      </c>
      <c r="B1240" s="524" t="s">
        <v>4042</v>
      </c>
      <c r="C1240" s="524" t="s">
        <v>432</v>
      </c>
      <c r="D1240" s="524">
        <v>30</v>
      </c>
      <c r="E1240" s="524">
        <v>51500</v>
      </c>
      <c r="F1240" s="555">
        <v>1545000</v>
      </c>
    </row>
    <row r="1241" spans="1:6" ht="15.75">
      <c r="A1241" s="136">
        <v>15</v>
      </c>
      <c r="B1241" s="523" t="s">
        <v>4043</v>
      </c>
      <c r="C1241" s="523" t="s">
        <v>286</v>
      </c>
      <c r="D1241" s="523">
        <v>2</v>
      </c>
      <c r="E1241" s="523">
        <v>2448000</v>
      </c>
      <c r="F1241" s="556">
        <v>4896000</v>
      </c>
    </row>
    <row r="1242" spans="1:6" ht="15.75">
      <c r="A1242" s="136">
        <v>16</v>
      </c>
      <c r="B1242" s="543" t="s">
        <v>4044</v>
      </c>
      <c r="C1242" s="543" t="s">
        <v>286</v>
      </c>
      <c r="D1242" s="543">
        <v>5</v>
      </c>
      <c r="E1242" s="554">
        <v>120000</v>
      </c>
      <c r="F1242" s="555">
        <v>600000</v>
      </c>
    </row>
    <row r="1243" spans="1:6" ht="15.75">
      <c r="A1243" s="136">
        <v>17</v>
      </c>
      <c r="B1243" s="549" t="s">
        <v>4045</v>
      </c>
      <c r="C1243" s="549" t="s">
        <v>286</v>
      </c>
      <c r="D1243" s="549">
        <v>4</v>
      </c>
      <c r="E1243" s="553">
        <v>140000</v>
      </c>
      <c r="F1243" s="556">
        <v>560000</v>
      </c>
    </row>
    <row r="1244" spans="1:6" ht="15.75">
      <c r="A1244" s="136">
        <v>18</v>
      </c>
      <c r="B1244" s="543" t="s">
        <v>4046</v>
      </c>
      <c r="C1244" s="543" t="s">
        <v>286</v>
      </c>
      <c r="D1244" s="543">
        <v>3</v>
      </c>
      <c r="E1244" s="554">
        <v>750000</v>
      </c>
      <c r="F1244" s="555">
        <v>2250000</v>
      </c>
    </row>
    <row r="1245" spans="1:6" ht="15.75">
      <c r="A1245" s="136">
        <v>19</v>
      </c>
      <c r="B1245" s="549" t="s">
        <v>4047</v>
      </c>
      <c r="C1245" s="549" t="s">
        <v>286</v>
      </c>
      <c r="D1245" s="549">
        <v>2</v>
      </c>
      <c r="E1245" s="553">
        <v>490000</v>
      </c>
      <c r="F1245" s="556">
        <v>980000</v>
      </c>
    </row>
    <row r="1246" spans="1:6" ht="15.75">
      <c r="A1246" s="136">
        <v>20</v>
      </c>
      <c r="B1246" s="543" t="s">
        <v>4048</v>
      </c>
      <c r="C1246" s="543" t="s">
        <v>286</v>
      </c>
      <c r="D1246" s="543">
        <v>4</v>
      </c>
      <c r="E1246" s="554">
        <v>360000</v>
      </c>
      <c r="F1246" s="555">
        <v>1440000</v>
      </c>
    </row>
    <row r="1247" spans="1:6" ht="15.75">
      <c r="A1247" s="136">
        <v>21</v>
      </c>
      <c r="B1247" s="549" t="s">
        <v>4049</v>
      </c>
      <c r="C1247" s="549" t="s">
        <v>286</v>
      </c>
      <c r="D1247" s="549">
        <v>10</v>
      </c>
      <c r="E1247" s="553">
        <v>30000</v>
      </c>
      <c r="F1247" s="556">
        <v>300000</v>
      </c>
    </row>
    <row r="1248" spans="1:6" ht="15.75">
      <c r="A1248" s="136">
        <v>22</v>
      </c>
      <c r="B1248" s="543" t="s">
        <v>4050</v>
      </c>
      <c r="C1248" s="543" t="s">
        <v>286</v>
      </c>
      <c r="D1248" s="543">
        <v>2</v>
      </c>
      <c r="E1248" s="554">
        <v>65000</v>
      </c>
      <c r="F1248" s="555">
        <v>130000</v>
      </c>
    </row>
    <row r="1249" spans="1:6" ht="15.75">
      <c r="A1249" s="136">
        <v>23</v>
      </c>
      <c r="B1249" s="549" t="s">
        <v>4051</v>
      </c>
      <c r="C1249" s="549" t="s">
        <v>286</v>
      </c>
      <c r="D1249" s="549">
        <v>8</v>
      </c>
      <c r="E1249" s="549">
        <v>38000</v>
      </c>
      <c r="F1249" s="556">
        <v>304000</v>
      </c>
    </row>
    <row r="1250" spans="1:6" ht="15.75">
      <c r="A1250" s="136">
        <v>24</v>
      </c>
      <c r="B1250" s="543" t="s">
        <v>4052</v>
      </c>
      <c r="C1250" s="543" t="s">
        <v>286</v>
      </c>
      <c r="D1250" s="543">
        <v>6</v>
      </c>
      <c r="E1250" s="543">
        <v>180000</v>
      </c>
      <c r="F1250" s="555">
        <v>1080000</v>
      </c>
    </row>
    <row r="1251" spans="1:6" ht="15.75">
      <c r="A1251" s="136">
        <v>25</v>
      </c>
      <c r="B1251" s="549" t="s">
        <v>4053</v>
      </c>
      <c r="C1251" s="549" t="s">
        <v>286</v>
      </c>
      <c r="D1251" s="549">
        <v>6</v>
      </c>
      <c r="E1251" s="549">
        <v>500000</v>
      </c>
      <c r="F1251" s="556">
        <v>3000000</v>
      </c>
    </row>
    <row r="1252" spans="1:6" ht="15.75">
      <c r="A1252" s="136">
        <v>26</v>
      </c>
      <c r="B1252" s="543" t="s">
        <v>4054</v>
      </c>
      <c r="C1252" s="543" t="s">
        <v>286</v>
      </c>
      <c r="D1252" s="543">
        <v>2</v>
      </c>
      <c r="E1252" s="543">
        <v>22000</v>
      </c>
      <c r="F1252" s="555">
        <v>44000</v>
      </c>
    </row>
    <row r="1253" spans="1:6" ht="15.75">
      <c r="A1253" s="136">
        <v>27</v>
      </c>
      <c r="B1253" s="549" t="s">
        <v>4055</v>
      </c>
      <c r="C1253" s="549" t="s">
        <v>286</v>
      </c>
      <c r="D1253" s="549">
        <v>2</v>
      </c>
      <c r="E1253" s="549">
        <v>150000</v>
      </c>
      <c r="F1253" s="556">
        <v>300000</v>
      </c>
    </row>
    <row r="1254" spans="1:6" ht="15.75">
      <c r="A1254" s="136">
        <v>28</v>
      </c>
      <c r="B1254" s="543" t="s">
        <v>4056</v>
      </c>
      <c r="C1254" s="543" t="s">
        <v>286</v>
      </c>
      <c r="D1254" s="543">
        <v>6</v>
      </c>
      <c r="E1254" s="543">
        <v>250000</v>
      </c>
      <c r="F1254" s="555">
        <v>1500000</v>
      </c>
    </row>
    <row r="1255" spans="1:6" ht="15.75">
      <c r="A1255" s="136">
        <v>29</v>
      </c>
      <c r="B1255" s="549" t="s">
        <v>4057</v>
      </c>
      <c r="C1255" s="549" t="s">
        <v>286</v>
      </c>
      <c r="D1255" s="549">
        <v>4</v>
      </c>
      <c r="E1255" s="549">
        <v>90000</v>
      </c>
      <c r="F1255" s="556">
        <v>360000</v>
      </c>
    </row>
    <row r="1256" spans="1:6" ht="15.75">
      <c r="A1256" s="136">
        <v>30</v>
      </c>
      <c r="B1256" s="543" t="s">
        <v>4058</v>
      </c>
      <c r="C1256" s="543" t="s">
        <v>286</v>
      </c>
      <c r="D1256" s="543">
        <v>2</v>
      </c>
      <c r="E1256" s="543">
        <v>900000</v>
      </c>
      <c r="F1256" s="555">
        <v>1800000</v>
      </c>
    </row>
    <row r="1257" spans="1:6" ht="15.75">
      <c r="A1257" s="136">
        <v>31</v>
      </c>
      <c r="B1257" s="549" t="s">
        <v>4059</v>
      </c>
      <c r="C1257" s="549" t="s">
        <v>286</v>
      </c>
      <c r="D1257" s="549">
        <v>4</v>
      </c>
      <c r="E1257" s="549">
        <v>120000</v>
      </c>
      <c r="F1257" s="556">
        <v>480000</v>
      </c>
    </row>
    <row r="1258" spans="1:6" ht="15.75">
      <c r="A1258" s="136">
        <v>32</v>
      </c>
      <c r="B1258" s="543" t="s">
        <v>4060</v>
      </c>
      <c r="C1258" s="543" t="s">
        <v>286</v>
      </c>
      <c r="D1258" s="543">
        <v>4</v>
      </c>
      <c r="E1258" s="543">
        <v>440000</v>
      </c>
      <c r="F1258" s="555">
        <v>1760000</v>
      </c>
    </row>
    <row r="1259" spans="1:6" ht="15.75">
      <c r="A1259" s="136">
        <v>33</v>
      </c>
      <c r="B1259" s="549" t="s">
        <v>4061</v>
      </c>
      <c r="C1259" s="549" t="s">
        <v>286</v>
      </c>
      <c r="D1259" s="549">
        <v>4</v>
      </c>
      <c r="E1259" s="549">
        <v>30000</v>
      </c>
      <c r="F1259" s="556">
        <v>120000</v>
      </c>
    </row>
    <row r="1260" spans="1:6" ht="15.75">
      <c r="A1260" s="136">
        <v>34</v>
      </c>
      <c r="B1260" s="543" t="s">
        <v>4062</v>
      </c>
      <c r="C1260" s="543" t="s">
        <v>286</v>
      </c>
      <c r="D1260" s="543">
        <v>4</v>
      </c>
      <c r="E1260" s="543">
        <v>90000</v>
      </c>
      <c r="F1260" s="555">
        <v>360000</v>
      </c>
    </row>
    <row r="1261" spans="1:6" ht="15.75">
      <c r="A1261" s="136">
        <v>35</v>
      </c>
      <c r="B1261" s="549" t="s">
        <v>4063</v>
      </c>
      <c r="C1261" s="549" t="s">
        <v>286</v>
      </c>
      <c r="D1261" s="549">
        <v>2</v>
      </c>
      <c r="E1261" s="549">
        <v>950000</v>
      </c>
      <c r="F1261" s="556">
        <v>1900000</v>
      </c>
    </row>
    <row r="1262" spans="1:6" ht="15.75">
      <c r="A1262" s="136">
        <v>36</v>
      </c>
      <c r="B1262" s="543" t="s">
        <v>4064</v>
      </c>
      <c r="C1262" s="543" t="s">
        <v>286</v>
      </c>
      <c r="D1262" s="543">
        <v>2</v>
      </c>
      <c r="E1262" s="543">
        <v>690000</v>
      </c>
      <c r="F1262" s="555">
        <v>1380000</v>
      </c>
    </row>
    <row r="1263" spans="1:6" ht="15.75">
      <c r="A1263" s="136">
        <v>37</v>
      </c>
      <c r="B1263" s="549" t="s">
        <v>4065</v>
      </c>
      <c r="C1263" s="549" t="s">
        <v>286</v>
      </c>
      <c r="D1263" s="549">
        <v>10</v>
      </c>
      <c r="E1263" s="549">
        <v>80000</v>
      </c>
      <c r="F1263" s="556">
        <v>800000</v>
      </c>
    </row>
    <row r="1264" spans="1:6" ht="15.75">
      <c r="A1264" s="136">
        <v>38</v>
      </c>
      <c r="B1264" s="543" t="s">
        <v>4066</v>
      </c>
      <c r="C1264" s="543" t="s">
        <v>286</v>
      </c>
      <c r="D1264" s="543">
        <v>12</v>
      </c>
      <c r="E1264" s="543">
        <v>150000</v>
      </c>
      <c r="F1264" s="555">
        <v>1800000</v>
      </c>
    </row>
    <row r="1265" spans="1:6" ht="15.75">
      <c r="A1265" s="136">
        <v>39</v>
      </c>
      <c r="B1265" s="549" t="s">
        <v>4067</v>
      </c>
      <c r="C1265" s="549" t="s">
        <v>286</v>
      </c>
      <c r="D1265" s="549">
        <v>3</v>
      </c>
      <c r="E1265" s="549">
        <v>100000</v>
      </c>
      <c r="F1265" s="556">
        <v>300000</v>
      </c>
    </row>
    <row r="1266" spans="1:6" ht="15.75">
      <c r="A1266" s="136">
        <v>40</v>
      </c>
      <c r="B1266" s="543" t="s">
        <v>4068</v>
      </c>
      <c r="C1266" s="543" t="s">
        <v>286</v>
      </c>
      <c r="D1266" s="543">
        <v>10</v>
      </c>
      <c r="E1266" s="543">
        <v>170000</v>
      </c>
      <c r="F1266" s="555">
        <v>1700000</v>
      </c>
    </row>
    <row r="1267" spans="1:6" ht="15.75">
      <c r="A1267" s="136">
        <v>41</v>
      </c>
      <c r="B1267" s="549" t="s">
        <v>4069</v>
      </c>
      <c r="C1267" s="549" t="s">
        <v>286</v>
      </c>
      <c r="D1267" s="549">
        <v>10</v>
      </c>
      <c r="E1267" s="549">
        <v>370000</v>
      </c>
      <c r="F1267" s="556">
        <v>3700000</v>
      </c>
    </row>
    <row r="1268" spans="1:6" ht="15.75">
      <c r="A1268" s="136">
        <v>42</v>
      </c>
      <c r="B1268" s="543" t="s">
        <v>4070</v>
      </c>
      <c r="C1268" s="543" t="s">
        <v>286</v>
      </c>
      <c r="D1268" s="543">
        <v>10</v>
      </c>
      <c r="E1268" s="543">
        <v>90000</v>
      </c>
      <c r="F1268" s="555">
        <v>900000</v>
      </c>
    </row>
    <row r="1269" spans="1:6" ht="15.75">
      <c r="A1269" s="136">
        <v>43</v>
      </c>
      <c r="B1269" s="549" t="s">
        <v>4071</v>
      </c>
      <c r="C1269" s="549" t="s">
        <v>286</v>
      </c>
      <c r="D1269" s="549">
        <v>10</v>
      </c>
      <c r="E1269" s="553">
        <v>100000</v>
      </c>
      <c r="F1269" s="556">
        <v>1000000</v>
      </c>
    </row>
    <row r="1270" spans="1:6" ht="31.5">
      <c r="A1270" s="136">
        <v>44</v>
      </c>
      <c r="B1270" s="543" t="s">
        <v>4072</v>
      </c>
      <c r="C1270" s="543" t="s">
        <v>286</v>
      </c>
      <c r="D1270" s="543">
        <v>2</v>
      </c>
      <c r="E1270" s="554">
        <v>5000000</v>
      </c>
      <c r="F1270" s="555">
        <v>10000000</v>
      </c>
    </row>
    <row r="1271" spans="1:6" ht="15.75">
      <c r="A1271" s="136">
        <v>45</v>
      </c>
      <c r="B1271" s="549" t="s">
        <v>4073</v>
      </c>
      <c r="C1271" s="549" t="s">
        <v>286</v>
      </c>
      <c r="D1271" s="549">
        <v>10</v>
      </c>
      <c r="E1271" s="549">
        <v>70000</v>
      </c>
      <c r="F1271" s="556">
        <v>700000</v>
      </c>
    </row>
    <row r="1272" spans="1:6" ht="15.75">
      <c r="A1272" s="136">
        <v>46</v>
      </c>
      <c r="B1272" s="543" t="s">
        <v>4074</v>
      </c>
      <c r="C1272" s="543" t="s">
        <v>286</v>
      </c>
      <c r="D1272" s="543">
        <v>10</v>
      </c>
      <c r="E1272" s="543">
        <v>100000</v>
      </c>
      <c r="F1272" s="555">
        <v>1000000</v>
      </c>
    </row>
    <row r="1273" spans="1:6" ht="15.75">
      <c r="A1273" s="136">
        <v>47</v>
      </c>
      <c r="B1273" s="549" t="s">
        <v>4075</v>
      </c>
      <c r="C1273" s="549" t="s">
        <v>286</v>
      </c>
      <c r="D1273" s="549">
        <v>10</v>
      </c>
      <c r="E1273" s="549">
        <v>60000</v>
      </c>
      <c r="F1273" s="556">
        <v>600000</v>
      </c>
    </row>
    <row r="1274" spans="1:6" ht="15.75">
      <c r="A1274" s="136">
        <v>48</v>
      </c>
      <c r="B1274" s="543" t="s">
        <v>4076</v>
      </c>
      <c r="C1274" s="543" t="s">
        <v>286</v>
      </c>
      <c r="D1274" s="543">
        <v>10</v>
      </c>
      <c r="E1274" s="543">
        <v>54000</v>
      </c>
      <c r="F1274" s="555">
        <v>540000</v>
      </c>
    </row>
    <row r="1275" spans="1:6" ht="15.75">
      <c r="A1275" s="136">
        <v>49</v>
      </c>
      <c r="B1275" s="549" t="s">
        <v>4077</v>
      </c>
      <c r="C1275" s="549" t="s">
        <v>286</v>
      </c>
      <c r="D1275" s="549">
        <v>10</v>
      </c>
      <c r="E1275" s="549">
        <v>70000</v>
      </c>
      <c r="F1275" s="556">
        <v>700000</v>
      </c>
    </row>
    <row r="1276" spans="1:6" ht="15.75">
      <c r="A1276" s="136">
        <v>50</v>
      </c>
      <c r="B1276" s="543" t="s">
        <v>4078</v>
      </c>
      <c r="C1276" s="543" t="s">
        <v>286</v>
      </c>
      <c r="D1276" s="543">
        <v>10</v>
      </c>
      <c r="E1276" s="543">
        <v>85000</v>
      </c>
      <c r="F1276" s="555">
        <v>850000</v>
      </c>
    </row>
    <row r="1277" spans="1:6" ht="15.75">
      <c r="A1277" s="136">
        <v>51</v>
      </c>
      <c r="B1277" s="549" t="s">
        <v>4079</v>
      </c>
      <c r="C1277" s="549" t="s">
        <v>286</v>
      </c>
      <c r="D1277" s="549">
        <v>20</v>
      </c>
      <c r="E1277" s="549">
        <v>85000</v>
      </c>
      <c r="F1277" s="556">
        <v>1700000</v>
      </c>
    </row>
    <row r="1278" spans="1:6" ht="15.75">
      <c r="A1278" s="136">
        <v>52</v>
      </c>
      <c r="B1278" s="543" t="s">
        <v>4080</v>
      </c>
      <c r="C1278" s="543" t="s">
        <v>286</v>
      </c>
      <c r="D1278" s="543">
        <v>10</v>
      </c>
      <c r="E1278" s="543">
        <v>75000</v>
      </c>
      <c r="F1278" s="555">
        <v>750000</v>
      </c>
    </row>
    <row r="1279" spans="1:6" ht="31.5">
      <c r="A1279" s="136">
        <v>53</v>
      </c>
      <c r="B1279" s="549" t="s">
        <v>4081</v>
      </c>
      <c r="C1279" s="549" t="s">
        <v>286</v>
      </c>
      <c r="D1279" s="549">
        <v>20</v>
      </c>
      <c r="E1279" s="549">
        <v>20000</v>
      </c>
      <c r="F1279" s="556">
        <v>400000</v>
      </c>
    </row>
    <row r="1280" spans="1:6" ht="31.5">
      <c r="A1280" s="136">
        <v>54</v>
      </c>
      <c r="B1280" s="543" t="s">
        <v>4082</v>
      </c>
      <c r="C1280" s="543" t="s">
        <v>286</v>
      </c>
      <c r="D1280" s="543">
        <v>20</v>
      </c>
      <c r="E1280" s="543">
        <v>20000</v>
      </c>
      <c r="F1280" s="555">
        <v>400000</v>
      </c>
    </row>
    <row r="1281" spans="1:6" ht="31.5">
      <c r="A1281" s="136">
        <v>55</v>
      </c>
      <c r="B1281" s="549" t="s">
        <v>4083</v>
      </c>
      <c r="C1281" s="549" t="s">
        <v>286</v>
      </c>
      <c r="D1281" s="550">
        <v>20</v>
      </c>
      <c r="E1281" s="550">
        <v>20000</v>
      </c>
      <c r="F1281" s="556">
        <v>400000</v>
      </c>
    </row>
    <row r="1282" spans="1:6" ht="31.5">
      <c r="A1282" s="136">
        <v>56</v>
      </c>
      <c r="B1282" s="543" t="s">
        <v>4084</v>
      </c>
      <c r="C1282" s="543" t="s">
        <v>286</v>
      </c>
      <c r="D1282" s="551">
        <v>20</v>
      </c>
      <c r="E1282" s="551">
        <v>20000</v>
      </c>
      <c r="F1282" s="555">
        <v>400000</v>
      </c>
    </row>
    <row r="1283" spans="1:6" ht="15.75">
      <c r="A1283" s="136">
        <v>57</v>
      </c>
      <c r="B1283" s="549" t="s">
        <v>4085</v>
      </c>
      <c r="C1283" s="549" t="s">
        <v>286</v>
      </c>
      <c r="D1283" s="549">
        <v>1</v>
      </c>
      <c r="E1283" s="549">
        <v>980000</v>
      </c>
      <c r="F1283" s="556">
        <v>980000</v>
      </c>
    </row>
    <row r="1284" spans="1:6" ht="15.75">
      <c r="A1284" s="136">
        <v>58</v>
      </c>
      <c r="B1284" s="524" t="s">
        <v>4086</v>
      </c>
      <c r="C1284" s="543" t="s">
        <v>3670</v>
      </c>
      <c r="D1284" s="543">
        <v>20</v>
      </c>
      <c r="E1284" s="533">
        <v>57000</v>
      </c>
      <c r="F1284" s="555">
        <v>1140000</v>
      </c>
    </row>
    <row r="1285" spans="1:6" ht="15.75">
      <c r="A1285" s="136">
        <v>59</v>
      </c>
      <c r="B1285" s="523" t="s">
        <v>4087</v>
      </c>
      <c r="C1285" s="549" t="s">
        <v>3670</v>
      </c>
      <c r="D1285" s="549">
        <v>40</v>
      </c>
      <c r="E1285" s="534">
        <v>57000</v>
      </c>
      <c r="F1285" s="556">
        <v>2280000</v>
      </c>
    </row>
    <row r="1286" spans="1:6" ht="15.75">
      <c r="A1286" s="136">
        <v>60</v>
      </c>
      <c r="B1286" s="524" t="s">
        <v>4088</v>
      </c>
      <c r="C1286" s="543" t="s">
        <v>3670</v>
      </c>
      <c r="D1286" s="524">
        <v>1</v>
      </c>
      <c r="E1286" s="533">
        <v>3900000</v>
      </c>
      <c r="F1286" s="555">
        <v>3900000</v>
      </c>
    </row>
    <row r="1287" spans="1:6" ht="15.75">
      <c r="A1287" s="136">
        <v>61</v>
      </c>
      <c r="B1287" s="523" t="s">
        <v>4089</v>
      </c>
      <c r="C1287" s="549" t="s">
        <v>3670</v>
      </c>
      <c r="D1287" s="549">
        <v>10</v>
      </c>
      <c r="E1287" s="534">
        <v>250000</v>
      </c>
      <c r="F1287" s="556">
        <v>2500000</v>
      </c>
    </row>
    <row r="1288" spans="1:6" ht="15.75">
      <c r="A1288" s="136">
        <v>62</v>
      </c>
      <c r="B1288" s="524" t="s">
        <v>4090</v>
      </c>
      <c r="C1288" s="543" t="s">
        <v>3670</v>
      </c>
      <c r="D1288" s="543">
        <v>10</v>
      </c>
      <c r="E1288" s="533">
        <v>350000</v>
      </c>
      <c r="F1288" s="555">
        <v>3500000</v>
      </c>
    </row>
    <row r="1289" spans="1:6" ht="15.75">
      <c r="A1289" s="136">
        <v>63</v>
      </c>
      <c r="B1289" s="523" t="s">
        <v>4091</v>
      </c>
      <c r="C1289" s="549" t="s">
        <v>3670</v>
      </c>
      <c r="D1289" s="549">
        <v>10</v>
      </c>
      <c r="E1289" s="534">
        <v>500000</v>
      </c>
      <c r="F1289" s="556">
        <v>5000000</v>
      </c>
    </row>
    <row r="1290" spans="1:6" ht="15.75">
      <c r="A1290" s="136">
        <v>64</v>
      </c>
      <c r="B1290" s="524" t="s">
        <v>4092</v>
      </c>
      <c r="C1290" s="524" t="s">
        <v>286</v>
      </c>
      <c r="D1290" s="524">
        <v>8</v>
      </c>
      <c r="E1290" s="555">
        <v>16800</v>
      </c>
      <c r="F1290" s="555">
        <v>134400</v>
      </c>
    </row>
    <row r="1291" spans="1:6" ht="15.75">
      <c r="A1291" s="136">
        <v>65</v>
      </c>
      <c r="B1291" s="523" t="s">
        <v>4093</v>
      </c>
      <c r="C1291" s="523" t="s">
        <v>286</v>
      </c>
      <c r="D1291" s="523">
        <v>8</v>
      </c>
      <c r="E1291" s="556">
        <v>40000</v>
      </c>
      <c r="F1291" s="556">
        <v>320000</v>
      </c>
    </row>
    <row r="1292" spans="1:6" ht="15.75">
      <c r="A1292" s="136">
        <v>66</v>
      </c>
      <c r="B1292" s="524" t="s">
        <v>4094</v>
      </c>
      <c r="C1292" s="524" t="s">
        <v>286</v>
      </c>
      <c r="D1292" s="524">
        <v>7</v>
      </c>
      <c r="E1292" s="555">
        <v>60000</v>
      </c>
      <c r="F1292" s="555">
        <v>420000</v>
      </c>
    </row>
    <row r="1293" spans="1:6" ht="15.75">
      <c r="A1293" s="136">
        <v>67</v>
      </c>
      <c r="B1293" s="523" t="s">
        <v>4095</v>
      </c>
      <c r="C1293" s="625" t="s">
        <v>286</v>
      </c>
      <c r="D1293" s="523">
        <v>14</v>
      </c>
      <c r="E1293" s="556">
        <v>250000</v>
      </c>
      <c r="F1293" s="556">
        <v>3500000</v>
      </c>
    </row>
    <row r="1294" spans="1:6" ht="15.75">
      <c r="A1294" s="136">
        <v>68</v>
      </c>
      <c r="B1294" s="524" t="s">
        <v>4096</v>
      </c>
      <c r="C1294" s="643" t="s">
        <v>286</v>
      </c>
      <c r="D1294" s="524">
        <v>13</v>
      </c>
      <c r="E1294" s="555">
        <v>55000</v>
      </c>
      <c r="F1294" s="555">
        <v>715000</v>
      </c>
    </row>
    <row r="1295" spans="1:6" ht="15.75">
      <c r="A1295" s="136">
        <v>69</v>
      </c>
      <c r="B1295" s="523" t="s">
        <v>4097</v>
      </c>
      <c r="C1295" s="625" t="s">
        <v>286</v>
      </c>
      <c r="D1295" s="523">
        <v>20</v>
      </c>
      <c r="E1295" s="556">
        <v>25000</v>
      </c>
      <c r="F1295" s="556">
        <v>500000</v>
      </c>
    </row>
    <row r="1296" spans="1:6" ht="15.75">
      <c r="A1296" s="136">
        <v>70</v>
      </c>
      <c r="B1296" s="524" t="s">
        <v>4098</v>
      </c>
      <c r="C1296" s="643" t="s">
        <v>286</v>
      </c>
      <c r="D1296" s="524">
        <v>15</v>
      </c>
      <c r="E1296" s="555">
        <v>40000</v>
      </c>
      <c r="F1296" s="555">
        <v>600000</v>
      </c>
    </row>
    <row r="1297" spans="1:6" ht="15.75">
      <c r="A1297" s="136">
        <v>71</v>
      </c>
      <c r="B1297" s="625" t="s">
        <v>4071</v>
      </c>
      <c r="C1297" s="625" t="s">
        <v>286</v>
      </c>
      <c r="D1297" s="625">
        <v>50</v>
      </c>
      <c r="E1297" s="525">
        <v>93000</v>
      </c>
      <c r="F1297" s="556">
        <v>4650000</v>
      </c>
    </row>
    <row r="1298" spans="1:6" ht="15.75">
      <c r="A1298" s="136">
        <v>72</v>
      </c>
      <c r="B1298" s="643" t="s">
        <v>4099</v>
      </c>
      <c r="C1298" s="643" t="s">
        <v>286</v>
      </c>
      <c r="D1298" s="643">
        <v>10</v>
      </c>
      <c r="E1298" s="528">
        <v>95000</v>
      </c>
      <c r="F1298" s="555">
        <v>950000</v>
      </c>
    </row>
    <row r="1299" spans="1:6" ht="15.75">
      <c r="A1299" s="136">
        <v>73</v>
      </c>
      <c r="B1299" s="625" t="s">
        <v>4100</v>
      </c>
      <c r="C1299" s="625" t="s">
        <v>286</v>
      </c>
      <c r="D1299" s="625">
        <v>7</v>
      </c>
      <c r="E1299" s="525">
        <v>40000</v>
      </c>
      <c r="F1299" s="556">
        <v>280000</v>
      </c>
    </row>
    <row r="1300" spans="1:6" ht="15.75">
      <c r="A1300" s="136">
        <v>74</v>
      </c>
      <c r="B1300" s="643" t="s">
        <v>4101</v>
      </c>
      <c r="C1300" s="643" t="s">
        <v>286</v>
      </c>
      <c r="D1300" s="643">
        <v>8</v>
      </c>
      <c r="E1300" s="528">
        <v>20000</v>
      </c>
      <c r="F1300" s="555">
        <v>160000</v>
      </c>
    </row>
    <row r="1301" spans="1:6" ht="15.75">
      <c r="A1301" s="136">
        <v>75</v>
      </c>
      <c r="B1301" s="523" t="s">
        <v>4092</v>
      </c>
      <c r="C1301" s="523" t="s">
        <v>286</v>
      </c>
      <c r="D1301" s="523">
        <v>5</v>
      </c>
      <c r="E1301" s="644">
        <v>40000</v>
      </c>
      <c r="F1301" s="556">
        <v>200000</v>
      </c>
    </row>
    <row r="1302" spans="1:6" ht="15.75">
      <c r="A1302" s="136">
        <v>76</v>
      </c>
      <c r="B1302" s="524" t="s">
        <v>4093</v>
      </c>
      <c r="C1302" s="524" t="s">
        <v>286</v>
      </c>
      <c r="D1302" s="524">
        <v>5</v>
      </c>
      <c r="E1302" s="645">
        <v>70000</v>
      </c>
      <c r="F1302" s="555">
        <v>350000</v>
      </c>
    </row>
    <row r="1303" spans="1:6" ht="15.75">
      <c r="A1303" s="136">
        <v>77</v>
      </c>
      <c r="B1303" s="523" t="s">
        <v>4094</v>
      </c>
      <c r="C1303" s="523" t="s">
        <v>286</v>
      </c>
      <c r="D1303" s="523">
        <v>5</v>
      </c>
      <c r="E1303" s="644">
        <v>100000</v>
      </c>
      <c r="F1303" s="556">
        <v>500000</v>
      </c>
    </row>
    <row r="1304" spans="1:6" ht="15.75">
      <c r="A1304" s="136">
        <v>78</v>
      </c>
      <c r="B1304" s="524" t="s">
        <v>4102</v>
      </c>
      <c r="C1304" s="524" t="s">
        <v>286</v>
      </c>
      <c r="D1304" s="524">
        <v>5</v>
      </c>
      <c r="E1304" s="645">
        <v>150000</v>
      </c>
      <c r="F1304" s="555">
        <v>750000</v>
      </c>
    </row>
    <row r="1305" spans="1:6" ht="15.75">
      <c r="A1305" s="136">
        <v>79</v>
      </c>
      <c r="B1305" s="523" t="s">
        <v>4095</v>
      </c>
      <c r="C1305" s="625" t="s">
        <v>286</v>
      </c>
      <c r="D1305" s="523">
        <v>8</v>
      </c>
      <c r="E1305" s="644">
        <v>850000</v>
      </c>
      <c r="F1305" s="556">
        <v>6800000</v>
      </c>
    </row>
    <row r="1306" spans="1:6" ht="15.75">
      <c r="A1306" s="136">
        <v>80</v>
      </c>
      <c r="B1306" s="524" t="s">
        <v>4096</v>
      </c>
      <c r="C1306" s="643" t="s">
        <v>286</v>
      </c>
      <c r="D1306" s="524">
        <v>4</v>
      </c>
      <c r="E1306" s="645">
        <v>55000</v>
      </c>
      <c r="F1306" s="555">
        <v>220000</v>
      </c>
    </row>
    <row r="1307" spans="1:6" ht="15.75">
      <c r="A1307" s="136">
        <v>81</v>
      </c>
      <c r="B1307" s="523" t="s">
        <v>4097</v>
      </c>
      <c r="C1307" s="625" t="s">
        <v>286</v>
      </c>
      <c r="D1307" s="523">
        <v>5</v>
      </c>
      <c r="E1307" s="644">
        <v>90000</v>
      </c>
      <c r="F1307" s="556">
        <v>450000</v>
      </c>
    </row>
    <row r="1308" spans="1:6" ht="15.75">
      <c r="A1308" s="136">
        <v>82</v>
      </c>
      <c r="B1308" s="524" t="s">
        <v>4098</v>
      </c>
      <c r="C1308" s="643" t="s">
        <v>286</v>
      </c>
      <c r="D1308" s="524">
        <v>5</v>
      </c>
      <c r="E1308" s="645">
        <v>100000</v>
      </c>
      <c r="F1308" s="555">
        <v>500000</v>
      </c>
    </row>
    <row r="1309" spans="1:6" ht="15.75">
      <c r="A1309" s="136">
        <v>83</v>
      </c>
      <c r="B1309" s="625" t="s">
        <v>4071</v>
      </c>
      <c r="C1309" s="625" t="s">
        <v>286</v>
      </c>
      <c r="D1309" s="625">
        <v>50</v>
      </c>
      <c r="E1309" s="644">
        <v>101000</v>
      </c>
      <c r="F1309" s="556">
        <v>5050000</v>
      </c>
    </row>
    <row r="1310" spans="1:6" ht="15.75">
      <c r="A1310" s="136">
        <v>84</v>
      </c>
      <c r="B1310" s="643" t="s">
        <v>4099</v>
      </c>
      <c r="C1310" s="643" t="s">
        <v>286</v>
      </c>
      <c r="D1310" s="643">
        <v>4</v>
      </c>
      <c r="E1310" s="645">
        <v>90000</v>
      </c>
      <c r="F1310" s="555">
        <v>360000</v>
      </c>
    </row>
    <row r="1311" spans="1:6" ht="15.75">
      <c r="A1311" s="136">
        <v>85</v>
      </c>
      <c r="B1311" s="625" t="s">
        <v>4100</v>
      </c>
      <c r="C1311" s="625" t="s">
        <v>286</v>
      </c>
      <c r="D1311" s="625">
        <v>4</v>
      </c>
      <c r="E1311" s="644">
        <v>88000</v>
      </c>
      <c r="F1311" s="556">
        <v>352000</v>
      </c>
    </row>
    <row r="1312" spans="1:6" ht="15.75">
      <c r="A1312" s="136">
        <v>86</v>
      </c>
      <c r="B1312" s="643" t="s">
        <v>4101</v>
      </c>
      <c r="C1312" s="643" t="s">
        <v>286</v>
      </c>
      <c r="D1312" s="643">
        <v>4</v>
      </c>
      <c r="E1312" s="645">
        <v>104875</v>
      </c>
      <c r="F1312" s="555">
        <v>419500</v>
      </c>
    </row>
    <row r="1313" spans="1:6" ht="15.75">
      <c r="A1313" s="136">
        <v>87</v>
      </c>
      <c r="B1313" s="625" t="s">
        <v>4103</v>
      </c>
      <c r="C1313" s="625" t="s">
        <v>286</v>
      </c>
      <c r="D1313" s="625">
        <v>2</v>
      </c>
      <c r="E1313" s="644">
        <v>1600000</v>
      </c>
      <c r="F1313" s="556">
        <v>3200000</v>
      </c>
    </row>
    <row r="1314" spans="1:6" ht="15.75">
      <c r="A1314" s="136">
        <v>88</v>
      </c>
      <c r="B1314" s="643" t="s">
        <v>4104</v>
      </c>
      <c r="C1314" s="643" t="s">
        <v>286</v>
      </c>
      <c r="D1314" s="643">
        <v>8</v>
      </c>
      <c r="E1314" s="645">
        <v>150000</v>
      </c>
      <c r="F1314" s="555">
        <v>1200000</v>
      </c>
    </row>
    <row r="1315" spans="1:6" ht="15.75">
      <c r="A1315" s="136">
        <v>89</v>
      </c>
      <c r="B1315" s="625" t="s">
        <v>4105</v>
      </c>
      <c r="C1315" s="625" t="s">
        <v>286</v>
      </c>
      <c r="D1315" s="625">
        <v>8</v>
      </c>
      <c r="E1315" s="644">
        <v>160000</v>
      </c>
      <c r="F1315" s="556">
        <v>1280000</v>
      </c>
    </row>
    <row r="1316" spans="1:6" ht="15.75">
      <c r="A1316" s="136">
        <v>90</v>
      </c>
      <c r="B1316" s="643" t="s">
        <v>4106</v>
      </c>
      <c r="C1316" s="643" t="s">
        <v>286</v>
      </c>
      <c r="D1316" s="643">
        <v>8</v>
      </c>
      <c r="E1316" s="645">
        <v>700000</v>
      </c>
      <c r="F1316" s="555">
        <v>5600000</v>
      </c>
    </row>
    <row r="1317" spans="1:6" ht="15.75">
      <c r="A1317" s="136">
        <v>91</v>
      </c>
      <c r="B1317" s="625" t="s">
        <v>4107</v>
      </c>
      <c r="C1317" s="625" t="s">
        <v>286</v>
      </c>
      <c r="D1317" s="625">
        <v>8</v>
      </c>
      <c r="E1317" s="644">
        <v>700000</v>
      </c>
      <c r="F1317" s="556">
        <v>5600000</v>
      </c>
    </row>
    <row r="1318" spans="1:6" ht="15.75">
      <c r="A1318" s="136">
        <v>92</v>
      </c>
      <c r="B1318" s="524" t="s">
        <v>4108</v>
      </c>
      <c r="C1318" s="524" t="s">
        <v>286</v>
      </c>
      <c r="D1318" s="524">
        <v>8</v>
      </c>
      <c r="E1318" s="533">
        <v>300000</v>
      </c>
      <c r="F1318" s="555">
        <v>2400000</v>
      </c>
    </row>
    <row r="1319" spans="1:6" ht="15.75">
      <c r="A1319" s="136">
        <v>93</v>
      </c>
      <c r="B1319" s="523" t="s">
        <v>4109</v>
      </c>
      <c r="C1319" s="523" t="s">
        <v>286</v>
      </c>
      <c r="D1319" s="523">
        <v>4</v>
      </c>
      <c r="E1319" s="534">
        <v>250000</v>
      </c>
      <c r="F1319" s="556">
        <v>1000000</v>
      </c>
    </row>
    <row r="1320" spans="1:6" ht="15.75">
      <c r="A1320" s="136">
        <v>94</v>
      </c>
      <c r="B1320" s="524" t="s">
        <v>4110</v>
      </c>
      <c r="C1320" s="524" t="s">
        <v>286</v>
      </c>
      <c r="D1320" s="524">
        <v>4</v>
      </c>
      <c r="E1320" s="533">
        <v>300000</v>
      </c>
      <c r="F1320" s="555">
        <v>1200000</v>
      </c>
    </row>
    <row r="1321" spans="1:6" ht="15.75">
      <c r="A1321" s="136">
        <v>95</v>
      </c>
      <c r="B1321" s="523" t="s">
        <v>4111</v>
      </c>
      <c r="C1321" s="523" t="s">
        <v>286</v>
      </c>
      <c r="D1321" s="523">
        <v>6</v>
      </c>
      <c r="E1321" s="534">
        <v>45000</v>
      </c>
      <c r="F1321" s="556">
        <v>270000</v>
      </c>
    </row>
    <row r="1322" spans="1:6" ht="15.75">
      <c r="A1322" s="136">
        <v>96</v>
      </c>
      <c r="B1322" s="524" t="s">
        <v>4112</v>
      </c>
      <c r="C1322" s="524" t="s">
        <v>286</v>
      </c>
      <c r="D1322" s="524">
        <v>6</v>
      </c>
      <c r="E1322" s="533">
        <v>45000</v>
      </c>
      <c r="F1322" s="555">
        <v>270000</v>
      </c>
    </row>
    <row r="1323" spans="1:6" ht="15.75">
      <c r="A1323" s="136">
        <v>97</v>
      </c>
      <c r="B1323" s="523" t="s">
        <v>4113</v>
      </c>
      <c r="C1323" s="523" t="s">
        <v>286</v>
      </c>
      <c r="D1323" s="523">
        <v>3</v>
      </c>
      <c r="E1323" s="534">
        <v>300000</v>
      </c>
      <c r="F1323" s="556">
        <v>900000</v>
      </c>
    </row>
    <row r="1324" spans="1:6" ht="15.75">
      <c r="A1324" s="136">
        <v>98</v>
      </c>
      <c r="B1324" s="524" t="s">
        <v>4114</v>
      </c>
      <c r="C1324" s="524" t="s">
        <v>286</v>
      </c>
      <c r="D1324" s="524">
        <v>2</v>
      </c>
      <c r="E1324" s="533">
        <v>350000</v>
      </c>
      <c r="F1324" s="555">
        <v>700000</v>
      </c>
    </row>
    <row r="1325" spans="1:6" ht="15.75">
      <c r="A1325" s="136">
        <v>99</v>
      </c>
      <c r="B1325" s="523" t="s">
        <v>4109</v>
      </c>
      <c r="C1325" s="523" t="s">
        <v>286</v>
      </c>
      <c r="D1325" s="523">
        <v>3</v>
      </c>
      <c r="E1325" s="534">
        <v>380000</v>
      </c>
      <c r="F1325" s="556">
        <v>1140000</v>
      </c>
    </row>
    <row r="1326" spans="1:6" ht="15.75">
      <c r="A1326" s="136">
        <v>100</v>
      </c>
      <c r="B1326" s="524" t="s">
        <v>4115</v>
      </c>
      <c r="C1326" s="524" t="s">
        <v>286</v>
      </c>
      <c r="D1326" s="524">
        <v>3</v>
      </c>
      <c r="E1326" s="533">
        <v>400000</v>
      </c>
      <c r="F1326" s="555">
        <v>1200000</v>
      </c>
    </row>
    <row r="1327" spans="1:6" ht="15.75">
      <c r="A1327" s="136">
        <v>101</v>
      </c>
      <c r="B1327" s="523" t="s">
        <v>4110</v>
      </c>
      <c r="C1327" s="523" t="s">
        <v>286</v>
      </c>
      <c r="D1327" s="523">
        <v>3</v>
      </c>
      <c r="E1327" s="534">
        <v>450000</v>
      </c>
      <c r="F1327" s="556">
        <v>1350000</v>
      </c>
    </row>
    <row r="1328" spans="1:6" ht="15.75">
      <c r="A1328" s="136">
        <v>102</v>
      </c>
      <c r="B1328" s="524" t="s">
        <v>927</v>
      </c>
      <c r="C1328" s="543" t="s">
        <v>286</v>
      </c>
      <c r="D1328" s="563">
        <v>4</v>
      </c>
      <c r="E1328" s="563">
        <v>91000</v>
      </c>
      <c r="F1328" s="555">
        <v>364000</v>
      </c>
    </row>
    <row r="1329" spans="1:6" ht="15.75">
      <c r="A1329" s="136">
        <v>103</v>
      </c>
      <c r="B1329" s="523" t="s">
        <v>927</v>
      </c>
      <c r="C1329" s="549" t="s">
        <v>286</v>
      </c>
      <c r="D1329" s="562">
        <v>4</v>
      </c>
      <c r="E1329" s="562">
        <v>120500</v>
      </c>
      <c r="F1329" s="556">
        <v>482000</v>
      </c>
    </row>
    <row r="1330" spans="1:6" ht="15.75">
      <c r="A1330" s="136">
        <v>104</v>
      </c>
      <c r="B1330" s="524" t="s">
        <v>927</v>
      </c>
      <c r="C1330" s="524" t="s">
        <v>2164</v>
      </c>
      <c r="D1330" s="563">
        <v>8</v>
      </c>
      <c r="E1330" s="563">
        <v>93000</v>
      </c>
      <c r="F1330" s="555">
        <v>744000</v>
      </c>
    </row>
    <row r="1331" spans="1:6" ht="15.75">
      <c r="A1331" s="136">
        <v>105</v>
      </c>
      <c r="B1331" s="523" t="s">
        <v>927</v>
      </c>
      <c r="C1331" s="523" t="s">
        <v>2164</v>
      </c>
      <c r="D1331" s="562">
        <v>4</v>
      </c>
      <c r="E1331" s="562">
        <v>75200</v>
      </c>
      <c r="F1331" s="556">
        <v>300800</v>
      </c>
    </row>
    <row r="1332" spans="1:6" ht="15.75">
      <c r="A1332" s="136">
        <v>106</v>
      </c>
      <c r="B1332" s="524" t="s">
        <v>4116</v>
      </c>
      <c r="C1332" s="524" t="s">
        <v>2164</v>
      </c>
      <c r="D1332" s="563">
        <v>4</v>
      </c>
      <c r="E1332" s="563">
        <v>90000</v>
      </c>
      <c r="F1332" s="555">
        <v>360000</v>
      </c>
    </row>
    <row r="1333" spans="1:6" ht="15.75">
      <c r="A1333" s="136">
        <v>107</v>
      </c>
      <c r="B1333" s="523" t="s">
        <v>4116</v>
      </c>
      <c r="C1333" s="523" t="s">
        <v>2164</v>
      </c>
      <c r="D1333" s="562">
        <v>2</v>
      </c>
      <c r="E1333" s="562">
        <v>110000</v>
      </c>
      <c r="F1333" s="556">
        <v>220000</v>
      </c>
    </row>
    <row r="1334" spans="1:6" ht="15.75">
      <c r="A1334" s="136">
        <v>108</v>
      </c>
      <c r="B1334" s="524" t="s">
        <v>4116</v>
      </c>
      <c r="C1334" s="543" t="s">
        <v>286</v>
      </c>
      <c r="D1334" s="563">
        <v>4</v>
      </c>
      <c r="E1334" s="563">
        <v>85000</v>
      </c>
      <c r="F1334" s="555">
        <v>340000</v>
      </c>
    </row>
    <row r="1335" spans="1:6" ht="15.75">
      <c r="A1335" s="136">
        <v>109</v>
      </c>
      <c r="B1335" s="523" t="s">
        <v>1358</v>
      </c>
      <c r="C1335" s="549" t="s">
        <v>286</v>
      </c>
      <c r="D1335" s="562">
        <v>25</v>
      </c>
      <c r="E1335" s="562">
        <v>35000</v>
      </c>
      <c r="F1335" s="556">
        <v>875000</v>
      </c>
    </row>
    <row r="1336" spans="1:6" ht="15.75">
      <c r="A1336" s="136">
        <v>110</v>
      </c>
      <c r="B1336" s="524" t="s">
        <v>1358</v>
      </c>
      <c r="C1336" s="543" t="s">
        <v>286</v>
      </c>
      <c r="D1336" s="563">
        <v>8</v>
      </c>
      <c r="E1336" s="563">
        <v>38000</v>
      </c>
      <c r="F1336" s="555">
        <v>304000</v>
      </c>
    </row>
    <row r="1337" spans="1:6" ht="15.75">
      <c r="A1337" s="136">
        <v>111</v>
      </c>
      <c r="B1337" s="523" t="s">
        <v>1358</v>
      </c>
      <c r="C1337" s="549" t="s">
        <v>286</v>
      </c>
      <c r="D1337" s="562">
        <v>8</v>
      </c>
      <c r="E1337" s="562">
        <v>42000</v>
      </c>
      <c r="F1337" s="556">
        <v>336000</v>
      </c>
    </row>
    <row r="1338" spans="1:6" ht="15.75">
      <c r="A1338" s="136">
        <v>112</v>
      </c>
      <c r="B1338" s="524" t="s">
        <v>1358</v>
      </c>
      <c r="C1338" s="543" t="s">
        <v>286</v>
      </c>
      <c r="D1338" s="563">
        <v>8</v>
      </c>
      <c r="E1338" s="563">
        <v>42000</v>
      </c>
      <c r="F1338" s="555">
        <v>336000</v>
      </c>
    </row>
    <row r="1339" spans="1:6" ht="15.75">
      <c r="A1339" s="136">
        <v>113</v>
      </c>
      <c r="B1339" s="549" t="s">
        <v>4117</v>
      </c>
      <c r="C1339" s="549" t="s">
        <v>286</v>
      </c>
      <c r="D1339" s="549">
        <v>4</v>
      </c>
      <c r="E1339" s="549">
        <v>520000</v>
      </c>
      <c r="F1339" s="556">
        <v>2080000</v>
      </c>
    </row>
    <row r="1340" spans="1:6" ht="15.75">
      <c r="A1340" s="136">
        <v>114</v>
      </c>
      <c r="B1340" s="543" t="s">
        <v>4118</v>
      </c>
      <c r="C1340" s="543" t="s">
        <v>286</v>
      </c>
      <c r="D1340" s="543">
        <v>4</v>
      </c>
      <c r="E1340" s="543">
        <v>550000</v>
      </c>
      <c r="F1340" s="555">
        <v>2200000</v>
      </c>
    </row>
    <row r="1341" spans="1:6" ht="15.75">
      <c r="A1341" s="136">
        <v>115</v>
      </c>
      <c r="B1341" s="549" t="s">
        <v>4119</v>
      </c>
      <c r="C1341" s="549" t="s">
        <v>286</v>
      </c>
      <c r="D1341" s="523">
        <v>1</v>
      </c>
      <c r="E1341" s="534">
        <v>3200000</v>
      </c>
      <c r="F1341" s="556">
        <v>3200000</v>
      </c>
    </row>
    <row r="1342" spans="1:6" ht="15.75">
      <c r="A1342" s="136">
        <v>116</v>
      </c>
      <c r="B1342" s="543" t="s">
        <v>4119</v>
      </c>
      <c r="C1342" s="543" t="s">
        <v>286</v>
      </c>
      <c r="D1342" s="524">
        <v>1</v>
      </c>
      <c r="E1342" s="533">
        <v>3500000</v>
      </c>
      <c r="F1342" s="555">
        <v>3500000</v>
      </c>
    </row>
    <row r="1343" spans="1:6" ht="15.75">
      <c r="A1343" s="136">
        <v>117</v>
      </c>
      <c r="B1343" s="523" t="s">
        <v>4120</v>
      </c>
      <c r="C1343" s="549" t="s">
        <v>286</v>
      </c>
      <c r="D1343" s="523">
        <v>2</v>
      </c>
      <c r="E1343" s="534">
        <v>3200000</v>
      </c>
      <c r="F1343" s="556">
        <v>6400000</v>
      </c>
    </row>
    <row r="1344" spans="1:6" ht="15.75">
      <c r="A1344" s="136">
        <v>118</v>
      </c>
      <c r="B1344" s="524" t="s">
        <v>4113</v>
      </c>
      <c r="C1344" s="543" t="s">
        <v>286</v>
      </c>
      <c r="D1344" s="524">
        <v>2</v>
      </c>
      <c r="E1344" s="646">
        <v>200000</v>
      </c>
      <c r="F1344" s="555">
        <v>400000</v>
      </c>
    </row>
    <row r="1345" spans="1:6" ht="15.75">
      <c r="A1345" s="136">
        <v>119</v>
      </c>
      <c r="B1345" s="523" t="s">
        <v>4121</v>
      </c>
      <c r="C1345" s="549" t="s">
        <v>286</v>
      </c>
      <c r="D1345" s="523">
        <v>4</v>
      </c>
      <c r="E1345" s="611">
        <v>250000</v>
      </c>
      <c r="F1345" s="556">
        <v>1000000</v>
      </c>
    </row>
    <row r="1346" spans="1:6" ht="15.75">
      <c r="A1346" s="136">
        <v>120</v>
      </c>
      <c r="B1346" s="524" t="s">
        <v>4097</v>
      </c>
      <c r="C1346" s="543" t="s">
        <v>286</v>
      </c>
      <c r="D1346" s="524">
        <v>4</v>
      </c>
      <c r="E1346" s="646">
        <v>45400</v>
      </c>
      <c r="F1346" s="555">
        <v>181600</v>
      </c>
    </row>
    <row r="1347" spans="1:6" ht="15.75">
      <c r="A1347" s="136">
        <v>121</v>
      </c>
      <c r="B1347" s="523" t="s">
        <v>4099</v>
      </c>
      <c r="C1347" s="549" t="s">
        <v>286</v>
      </c>
      <c r="D1347" s="523">
        <v>8</v>
      </c>
      <c r="E1347" s="611">
        <v>55000</v>
      </c>
      <c r="F1347" s="556">
        <v>440000</v>
      </c>
    </row>
    <row r="1348" spans="1:6" ht="15.75">
      <c r="A1348" s="136">
        <v>122</v>
      </c>
      <c r="B1348" s="524" t="s">
        <v>4100</v>
      </c>
      <c r="C1348" s="543" t="s">
        <v>286</v>
      </c>
      <c r="D1348" s="524">
        <v>4</v>
      </c>
      <c r="E1348" s="646">
        <v>56000</v>
      </c>
      <c r="F1348" s="555">
        <v>224000</v>
      </c>
    </row>
    <row r="1349" spans="1:6" ht="15.75">
      <c r="A1349" s="136">
        <v>123</v>
      </c>
      <c r="B1349" s="523" t="s">
        <v>4122</v>
      </c>
      <c r="C1349" s="549" t="s">
        <v>286</v>
      </c>
      <c r="D1349" s="523">
        <v>4</v>
      </c>
      <c r="E1349" s="611">
        <v>62000</v>
      </c>
      <c r="F1349" s="556">
        <v>248000</v>
      </c>
    </row>
    <row r="1350" spans="1:6" ht="15.75">
      <c r="A1350" s="136">
        <v>124</v>
      </c>
      <c r="B1350" s="524" t="s">
        <v>4123</v>
      </c>
      <c r="C1350" s="543" t="s">
        <v>286</v>
      </c>
      <c r="D1350" s="524">
        <v>3</v>
      </c>
      <c r="E1350" s="646">
        <v>67800</v>
      </c>
      <c r="F1350" s="555">
        <v>203400</v>
      </c>
    </row>
    <row r="1351" spans="1:6" ht="15.75">
      <c r="A1351" s="136">
        <v>125</v>
      </c>
      <c r="B1351" s="523" t="s">
        <v>4124</v>
      </c>
      <c r="C1351" s="549" t="s">
        <v>286</v>
      </c>
      <c r="D1351" s="523">
        <v>8</v>
      </c>
      <c r="E1351" s="523">
        <v>52000</v>
      </c>
      <c r="F1351" s="556">
        <v>416000</v>
      </c>
    </row>
    <row r="1352" spans="1:6" ht="15.75">
      <c r="A1352" s="136">
        <v>126</v>
      </c>
      <c r="B1352" s="524" t="s">
        <v>4124</v>
      </c>
      <c r="C1352" s="543" t="s">
        <v>286</v>
      </c>
      <c r="D1352" s="524">
        <v>15</v>
      </c>
      <c r="E1352" s="524">
        <v>53000</v>
      </c>
      <c r="F1352" s="555">
        <v>795000</v>
      </c>
    </row>
    <row r="1353" spans="1:6" ht="15.75">
      <c r="A1353" s="136">
        <v>127</v>
      </c>
      <c r="B1353" s="523" t="s">
        <v>4124</v>
      </c>
      <c r="C1353" s="549" t="s">
        <v>286</v>
      </c>
      <c r="D1353" s="523">
        <v>6</v>
      </c>
      <c r="E1353" s="523">
        <v>42000</v>
      </c>
      <c r="F1353" s="556">
        <v>252000</v>
      </c>
    </row>
    <row r="1354" spans="1:6" ht="31.5">
      <c r="A1354" s="136">
        <v>128</v>
      </c>
      <c r="B1354" s="543" t="s">
        <v>4125</v>
      </c>
      <c r="C1354" s="543" t="s">
        <v>286</v>
      </c>
      <c r="D1354" s="543">
        <v>1</v>
      </c>
      <c r="E1354" s="543">
        <v>2140000</v>
      </c>
      <c r="F1354" s="555">
        <v>2140000</v>
      </c>
    </row>
    <row r="1355" spans="1:6" ht="31.5">
      <c r="A1355" s="136">
        <v>129</v>
      </c>
      <c r="B1355" s="549" t="s">
        <v>4126</v>
      </c>
      <c r="C1355" s="523" t="s">
        <v>286</v>
      </c>
      <c r="D1355" s="523">
        <v>1</v>
      </c>
      <c r="E1355" s="523">
        <v>2550000</v>
      </c>
      <c r="F1355" s="556">
        <v>2550000</v>
      </c>
    </row>
    <row r="1356" spans="1:6" ht="31.5">
      <c r="A1356" s="136">
        <v>130</v>
      </c>
      <c r="B1356" s="543" t="s">
        <v>4126</v>
      </c>
      <c r="C1356" s="524" t="s">
        <v>286</v>
      </c>
      <c r="D1356" s="524">
        <v>1</v>
      </c>
      <c r="E1356" s="524">
        <v>1460000</v>
      </c>
      <c r="F1356" s="555">
        <v>1460000</v>
      </c>
    </row>
    <row r="1357" spans="1:6" ht="15.75">
      <c r="A1357" s="136">
        <v>131</v>
      </c>
      <c r="B1357" s="549" t="s">
        <v>4127</v>
      </c>
      <c r="C1357" s="523" t="s">
        <v>286</v>
      </c>
      <c r="D1357" s="523">
        <v>1</v>
      </c>
      <c r="E1357" s="523">
        <v>2630000</v>
      </c>
      <c r="F1357" s="556">
        <v>2630000</v>
      </c>
    </row>
    <row r="1358" spans="1:6" ht="31.5">
      <c r="A1358" s="136">
        <v>132</v>
      </c>
      <c r="B1358" s="543" t="s">
        <v>4128</v>
      </c>
      <c r="C1358" s="543" t="s">
        <v>286</v>
      </c>
      <c r="D1358" s="543">
        <v>1</v>
      </c>
      <c r="E1358" s="543">
        <v>2550000</v>
      </c>
      <c r="F1358" s="555">
        <v>2550000</v>
      </c>
    </row>
    <row r="1359" spans="1:6" ht="31.5">
      <c r="A1359" s="136">
        <v>133</v>
      </c>
      <c r="B1359" s="549" t="s">
        <v>4129</v>
      </c>
      <c r="C1359" s="523" t="s">
        <v>286</v>
      </c>
      <c r="D1359" s="523">
        <v>1</v>
      </c>
      <c r="E1359" s="523">
        <v>2700000</v>
      </c>
      <c r="F1359" s="556">
        <v>2700000</v>
      </c>
    </row>
    <row r="1360" spans="1:6" ht="15.75">
      <c r="A1360" s="136">
        <v>134</v>
      </c>
      <c r="B1360" s="524" t="s">
        <v>4130</v>
      </c>
      <c r="C1360" s="543" t="s">
        <v>286</v>
      </c>
      <c r="D1360" s="524">
        <v>5</v>
      </c>
      <c r="E1360" s="555">
        <v>45000</v>
      </c>
      <c r="F1360" s="555">
        <v>225000</v>
      </c>
    </row>
    <row r="1361" spans="1:6" ht="15.75">
      <c r="A1361" s="136">
        <v>135</v>
      </c>
      <c r="B1361" s="523" t="s">
        <v>4131</v>
      </c>
      <c r="C1361" s="549" t="s">
        <v>286</v>
      </c>
      <c r="D1361" s="523">
        <v>1</v>
      </c>
      <c r="E1361" s="556">
        <v>130000</v>
      </c>
      <c r="F1361" s="556">
        <v>130000</v>
      </c>
    </row>
    <row r="1362" spans="1:6" ht="15.75">
      <c r="A1362" s="136">
        <v>136</v>
      </c>
      <c r="B1362" s="524" t="s">
        <v>4132</v>
      </c>
      <c r="C1362" s="543" t="s">
        <v>286</v>
      </c>
      <c r="D1362" s="524">
        <v>7</v>
      </c>
      <c r="E1362" s="555">
        <v>45000</v>
      </c>
      <c r="F1362" s="555">
        <v>315000</v>
      </c>
    </row>
    <row r="1363" spans="1:6" ht="15.75">
      <c r="A1363" s="136">
        <v>137</v>
      </c>
      <c r="B1363" s="523" t="s">
        <v>4133</v>
      </c>
      <c r="C1363" s="549" t="s">
        <v>286</v>
      </c>
      <c r="D1363" s="523">
        <v>2</v>
      </c>
      <c r="E1363" s="556">
        <v>45000</v>
      </c>
      <c r="F1363" s="556">
        <v>90000</v>
      </c>
    </row>
    <row r="1364" spans="1:6" ht="15.75">
      <c r="A1364" s="136">
        <v>138</v>
      </c>
      <c r="B1364" s="524" t="s">
        <v>4134</v>
      </c>
      <c r="C1364" s="543" t="s">
        <v>286</v>
      </c>
      <c r="D1364" s="524">
        <v>1</v>
      </c>
      <c r="E1364" s="555">
        <v>170000</v>
      </c>
      <c r="F1364" s="555">
        <v>170000</v>
      </c>
    </row>
    <row r="1365" spans="1:6" ht="15.75">
      <c r="A1365" s="136">
        <v>139</v>
      </c>
      <c r="B1365" s="523" t="s">
        <v>4135</v>
      </c>
      <c r="C1365" s="549" t="s">
        <v>286</v>
      </c>
      <c r="D1365" s="523">
        <v>1</v>
      </c>
      <c r="E1365" s="556">
        <v>170000</v>
      </c>
      <c r="F1365" s="556">
        <v>170000</v>
      </c>
    </row>
    <row r="1366" spans="1:6" ht="15.75">
      <c r="A1366" s="136">
        <v>140</v>
      </c>
      <c r="B1366" s="524" t="s">
        <v>4136</v>
      </c>
      <c r="C1366" s="543" t="s">
        <v>286</v>
      </c>
      <c r="D1366" s="524">
        <v>2</v>
      </c>
      <c r="E1366" s="555">
        <v>700000</v>
      </c>
      <c r="F1366" s="555">
        <v>1400000</v>
      </c>
    </row>
    <row r="1367" spans="1:6" ht="15.75">
      <c r="A1367" s="136">
        <v>141</v>
      </c>
      <c r="B1367" s="523" t="s">
        <v>4137</v>
      </c>
      <c r="C1367" s="549" t="s">
        <v>286</v>
      </c>
      <c r="D1367" s="523">
        <v>2</v>
      </c>
      <c r="E1367" s="556">
        <v>130000</v>
      </c>
      <c r="F1367" s="556">
        <v>260000</v>
      </c>
    </row>
    <row r="1368" spans="1:6" ht="15.75">
      <c r="A1368" s="136">
        <v>142</v>
      </c>
      <c r="B1368" s="524" t="s">
        <v>4138</v>
      </c>
      <c r="C1368" s="543" t="s">
        <v>286</v>
      </c>
      <c r="D1368" s="524">
        <v>10</v>
      </c>
      <c r="E1368" s="555">
        <v>30000</v>
      </c>
      <c r="F1368" s="555">
        <v>300000</v>
      </c>
    </row>
    <row r="1369" spans="1:6" ht="15.75">
      <c r="A1369" s="136">
        <v>143</v>
      </c>
      <c r="B1369" s="523" t="s">
        <v>4139</v>
      </c>
      <c r="C1369" s="549" t="s">
        <v>286</v>
      </c>
      <c r="D1369" s="523">
        <v>10</v>
      </c>
      <c r="E1369" s="556">
        <v>60000</v>
      </c>
      <c r="F1369" s="556">
        <v>600000</v>
      </c>
    </row>
    <row r="1370" spans="1:6" ht="15.75">
      <c r="A1370" s="136">
        <v>144</v>
      </c>
      <c r="B1370" s="524" t="s">
        <v>4140</v>
      </c>
      <c r="C1370" s="543" t="s">
        <v>286</v>
      </c>
      <c r="D1370" s="524">
        <v>8</v>
      </c>
      <c r="E1370" s="555">
        <v>60000</v>
      </c>
      <c r="F1370" s="555">
        <v>480000</v>
      </c>
    </row>
    <row r="1371" spans="1:6" ht="15.75">
      <c r="A1371" s="136">
        <v>145</v>
      </c>
      <c r="B1371" s="647" t="s">
        <v>4141</v>
      </c>
      <c r="C1371" s="648" t="s">
        <v>286</v>
      </c>
      <c r="D1371" s="647">
        <v>10</v>
      </c>
      <c r="E1371" s="647">
        <v>100000</v>
      </c>
      <c r="F1371" s="531">
        <v>1000000</v>
      </c>
    </row>
    <row r="1372" spans="1:6" ht="15.75">
      <c r="A1372" s="136">
        <v>146</v>
      </c>
      <c r="B1372" s="649" t="s">
        <v>4142</v>
      </c>
      <c r="C1372" s="650" t="s">
        <v>286</v>
      </c>
      <c r="D1372" s="649">
        <v>4</v>
      </c>
      <c r="E1372" s="649">
        <v>250000</v>
      </c>
      <c r="F1372" s="532">
        <v>1000000</v>
      </c>
    </row>
    <row r="1373" spans="1:6" ht="15.75">
      <c r="A1373" s="136">
        <v>147</v>
      </c>
      <c r="B1373" s="647" t="s">
        <v>4143</v>
      </c>
      <c r="C1373" s="648" t="s">
        <v>68</v>
      </c>
      <c r="D1373" s="647">
        <v>50</v>
      </c>
      <c r="E1373" s="647">
        <v>25000</v>
      </c>
      <c r="F1373" s="531">
        <v>1250000</v>
      </c>
    </row>
    <row r="1374" spans="1:6" ht="15.75">
      <c r="A1374" s="136">
        <v>148</v>
      </c>
      <c r="B1374" s="543" t="s">
        <v>4144</v>
      </c>
      <c r="C1374" s="543" t="s">
        <v>286</v>
      </c>
      <c r="D1374" s="543">
        <v>10</v>
      </c>
      <c r="E1374" s="651">
        <v>120000</v>
      </c>
      <c r="F1374" s="532">
        <v>1200000</v>
      </c>
    </row>
    <row r="1375" spans="1:6" ht="15.75">
      <c r="A1375" s="136">
        <v>149</v>
      </c>
      <c r="B1375" s="549" t="s">
        <v>4145</v>
      </c>
      <c r="C1375" s="549" t="s">
        <v>286</v>
      </c>
      <c r="D1375" s="549">
        <v>4</v>
      </c>
      <c r="E1375" s="652">
        <v>100000</v>
      </c>
      <c r="F1375" s="531">
        <v>400000</v>
      </c>
    </row>
    <row r="1376" spans="1:6" ht="15.75">
      <c r="A1376" s="136">
        <v>150</v>
      </c>
      <c r="B1376" s="543" t="s">
        <v>4146</v>
      </c>
      <c r="C1376" s="543" t="s">
        <v>286</v>
      </c>
      <c r="D1376" s="543">
        <v>10</v>
      </c>
      <c r="E1376" s="651">
        <v>110000</v>
      </c>
      <c r="F1376" s="532">
        <v>1100000</v>
      </c>
    </row>
    <row r="1377" spans="1:6" ht="15.75">
      <c r="A1377" s="136">
        <v>151</v>
      </c>
      <c r="B1377" s="549" t="s">
        <v>4147</v>
      </c>
      <c r="C1377" s="549" t="s">
        <v>286</v>
      </c>
      <c r="D1377" s="549">
        <v>10</v>
      </c>
      <c r="E1377" s="652">
        <v>110000</v>
      </c>
      <c r="F1377" s="531">
        <v>1100000</v>
      </c>
    </row>
    <row r="1378" spans="1:6" ht="15.75">
      <c r="A1378" s="136">
        <v>152</v>
      </c>
      <c r="B1378" s="543" t="s">
        <v>4148</v>
      </c>
      <c r="C1378" s="543" t="s">
        <v>286</v>
      </c>
      <c r="D1378" s="543">
        <v>4</v>
      </c>
      <c r="E1378" s="651">
        <v>50000</v>
      </c>
      <c r="F1378" s="532">
        <v>200000</v>
      </c>
    </row>
    <row r="1379" spans="1:6" ht="15.75">
      <c r="A1379" s="136">
        <v>153</v>
      </c>
      <c r="B1379" s="549" t="s">
        <v>4149</v>
      </c>
      <c r="C1379" s="549" t="s">
        <v>286</v>
      </c>
      <c r="D1379" s="549">
        <v>15</v>
      </c>
      <c r="E1379" s="652">
        <v>90000</v>
      </c>
      <c r="F1379" s="531">
        <v>1350000</v>
      </c>
    </row>
    <row r="1380" spans="1:6" ht="15.75">
      <c r="A1380" s="136">
        <v>154</v>
      </c>
      <c r="B1380" s="543" t="s">
        <v>4150</v>
      </c>
      <c r="C1380" s="543" t="s">
        <v>286</v>
      </c>
      <c r="D1380" s="543">
        <v>15</v>
      </c>
      <c r="E1380" s="651">
        <v>120000</v>
      </c>
      <c r="F1380" s="532">
        <v>1800000</v>
      </c>
    </row>
    <row r="1381" spans="1:6" ht="15.75">
      <c r="A1381" s="136">
        <v>155</v>
      </c>
      <c r="B1381" s="549" t="s">
        <v>4151</v>
      </c>
      <c r="C1381" s="549" t="s">
        <v>286</v>
      </c>
      <c r="D1381" s="549">
        <v>15</v>
      </c>
      <c r="E1381" s="652">
        <v>60000</v>
      </c>
      <c r="F1381" s="531">
        <v>900000</v>
      </c>
    </row>
    <row r="1382" spans="1:6" ht="15.75">
      <c r="A1382" s="136">
        <v>156</v>
      </c>
      <c r="B1382" s="543" t="s">
        <v>927</v>
      </c>
      <c r="C1382" s="543" t="s">
        <v>286</v>
      </c>
      <c r="D1382" s="543">
        <v>10</v>
      </c>
      <c r="E1382" s="651">
        <v>120000</v>
      </c>
      <c r="F1382" s="532">
        <v>1200000</v>
      </c>
    </row>
    <row r="1383" spans="1:6" ht="15.75">
      <c r="A1383" s="136">
        <v>157</v>
      </c>
      <c r="B1383" s="549" t="s">
        <v>4152</v>
      </c>
      <c r="C1383" s="549" t="s">
        <v>286</v>
      </c>
      <c r="D1383" s="549">
        <v>10</v>
      </c>
      <c r="E1383" s="652">
        <v>70000</v>
      </c>
      <c r="F1383" s="531">
        <v>700000</v>
      </c>
    </row>
    <row r="1384" spans="1:6">
      <c r="A1384" s="136"/>
      <c r="B1384" s="1255" t="s">
        <v>4153</v>
      </c>
      <c r="C1384" s="1255"/>
      <c r="D1384" s="1255"/>
      <c r="E1384" s="1255"/>
      <c r="F1384" s="1255"/>
    </row>
    <row r="1385" spans="1:6" ht="31.5">
      <c r="A1385" s="136">
        <v>1</v>
      </c>
      <c r="B1385" s="523" t="s">
        <v>4154</v>
      </c>
      <c r="C1385" s="523" t="s">
        <v>4155</v>
      </c>
      <c r="D1385" s="523">
        <v>120</v>
      </c>
      <c r="E1385" s="616">
        <v>600000</v>
      </c>
      <c r="F1385" s="556">
        <v>72000000</v>
      </c>
    </row>
    <row r="1386" spans="1:6" ht="15.75">
      <c r="A1386" s="136">
        <v>2</v>
      </c>
      <c r="B1386" s="543" t="s">
        <v>4156</v>
      </c>
      <c r="C1386" s="543" t="s">
        <v>286</v>
      </c>
      <c r="D1386" s="551">
        <v>65</v>
      </c>
      <c r="E1386" s="551">
        <v>650000</v>
      </c>
      <c r="F1386" s="555">
        <v>42250000</v>
      </c>
    </row>
    <row r="1387" spans="1:6" ht="15.75">
      <c r="A1387" s="136">
        <v>3</v>
      </c>
      <c r="B1387" s="523" t="s">
        <v>4157</v>
      </c>
      <c r="C1387" s="523" t="s">
        <v>286</v>
      </c>
      <c r="D1387" s="562">
        <v>59</v>
      </c>
      <c r="E1387" s="562">
        <v>600000</v>
      </c>
      <c r="F1387" s="556">
        <v>35400000</v>
      </c>
    </row>
    <row r="1388" spans="1:6" ht="31.5">
      <c r="A1388" s="136">
        <v>4</v>
      </c>
      <c r="B1388" s="650" t="s">
        <v>4158</v>
      </c>
      <c r="C1388" s="650"/>
      <c r="D1388" s="649"/>
      <c r="E1388" s="653">
        <v>7000000</v>
      </c>
      <c r="F1388" s="528">
        <v>7000000</v>
      </c>
    </row>
    <row r="1389" spans="1:6">
      <c r="A1389" s="136"/>
      <c r="B1389" s="1255" t="s">
        <v>4185</v>
      </c>
      <c r="C1389" s="1255"/>
      <c r="D1389" s="1255"/>
      <c r="E1389" s="1255"/>
      <c r="F1389" s="1255"/>
    </row>
    <row r="1390" spans="1:6" ht="15.75">
      <c r="A1390" s="136">
        <v>1</v>
      </c>
      <c r="B1390" s="549" t="s">
        <v>4159</v>
      </c>
      <c r="C1390" s="523" t="s">
        <v>286</v>
      </c>
      <c r="D1390" s="549">
        <v>2</v>
      </c>
      <c r="E1390" s="553">
        <v>6500000</v>
      </c>
      <c r="F1390" s="556">
        <v>13000000</v>
      </c>
    </row>
    <row r="1391" spans="1:6" ht="15.75">
      <c r="A1391" s="136">
        <v>2</v>
      </c>
      <c r="B1391" s="524" t="s">
        <v>4160</v>
      </c>
      <c r="C1391" s="524" t="s">
        <v>286</v>
      </c>
      <c r="D1391" s="539">
        <v>1</v>
      </c>
      <c r="E1391" s="540">
        <v>3500000</v>
      </c>
      <c r="F1391" s="555">
        <v>3500000</v>
      </c>
    </row>
    <row r="1392" spans="1:6" ht="15.75">
      <c r="A1392" s="136">
        <v>3</v>
      </c>
      <c r="B1392" s="549" t="s">
        <v>4161</v>
      </c>
      <c r="C1392" s="523" t="s">
        <v>286</v>
      </c>
      <c r="D1392" s="549">
        <v>1</v>
      </c>
      <c r="E1392" s="553">
        <v>8500000</v>
      </c>
      <c r="F1392" s="556">
        <v>8500000</v>
      </c>
    </row>
    <row r="1393" spans="1:6" ht="15.75">
      <c r="A1393" s="136">
        <v>4</v>
      </c>
      <c r="B1393" s="524" t="s">
        <v>4162</v>
      </c>
      <c r="C1393" s="524" t="s">
        <v>286</v>
      </c>
      <c r="D1393" s="539">
        <v>1</v>
      </c>
      <c r="E1393" s="540">
        <v>5500000</v>
      </c>
      <c r="F1393" s="555">
        <v>5500000</v>
      </c>
    </row>
    <row r="1394" spans="1:6" ht="47.25">
      <c r="A1394" s="136">
        <v>5</v>
      </c>
      <c r="B1394" s="523" t="s">
        <v>4163</v>
      </c>
      <c r="C1394" s="537" t="s">
        <v>3525</v>
      </c>
      <c r="D1394" s="546">
        <v>1</v>
      </c>
      <c r="E1394" s="527">
        <v>9500000</v>
      </c>
      <c r="F1394" s="556">
        <v>9500000</v>
      </c>
    </row>
    <row r="1395" spans="1:6" ht="31.5">
      <c r="A1395" s="136">
        <v>6</v>
      </c>
      <c r="B1395" s="524" t="s">
        <v>4164</v>
      </c>
      <c r="C1395" s="539" t="s">
        <v>3525</v>
      </c>
      <c r="D1395" s="548">
        <v>1</v>
      </c>
      <c r="E1395" s="526">
        <v>6700000</v>
      </c>
      <c r="F1395" s="555">
        <v>6700000</v>
      </c>
    </row>
    <row r="1396" spans="1:6" ht="15.75">
      <c r="A1396" s="136">
        <v>7</v>
      </c>
      <c r="B1396" s="523" t="s">
        <v>4165</v>
      </c>
      <c r="C1396" s="523" t="s">
        <v>286</v>
      </c>
      <c r="D1396" s="523">
        <v>8</v>
      </c>
      <c r="E1396" s="534">
        <v>100000</v>
      </c>
      <c r="F1396" s="556">
        <v>800000</v>
      </c>
    </row>
    <row r="1397" spans="1:6" ht="15.75">
      <c r="A1397" s="136">
        <v>8</v>
      </c>
      <c r="B1397" s="524" t="s">
        <v>4166</v>
      </c>
      <c r="C1397" s="524" t="s">
        <v>286</v>
      </c>
      <c r="D1397" s="524">
        <v>8</v>
      </c>
      <c r="E1397" s="533">
        <v>100000</v>
      </c>
      <c r="F1397" s="555">
        <v>800000</v>
      </c>
    </row>
    <row r="1398" spans="1:6" ht="15.75">
      <c r="A1398" s="136">
        <v>9</v>
      </c>
      <c r="B1398" s="523" t="s">
        <v>4167</v>
      </c>
      <c r="C1398" s="523" t="s">
        <v>286</v>
      </c>
      <c r="D1398" s="523">
        <v>8</v>
      </c>
      <c r="E1398" s="534">
        <v>100000</v>
      </c>
      <c r="F1398" s="556">
        <v>800000</v>
      </c>
    </row>
    <row r="1399" spans="1:6" ht="15.75">
      <c r="A1399" s="136">
        <v>10</v>
      </c>
      <c r="B1399" s="524" t="s">
        <v>4168</v>
      </c>
      <c r="C1399" s="524" t="s">
        <v>286</v>
      </c>
      <c r="D1399" s="524">
        <v>8</v>
      </c>
      <c r="E1399" s="533">
        <v>100000</v>
      </c>
      <c r="F1399" s="555">
        <v>800000</v>
      </c>
    </row>
    <row r="1400" spans="1:6" ht="15.75">
      <c r="A1400" s="136">
        <v>11</v>
      </c>
      <c r="B1400" s="523" t="s">
        <v>4169</v>
      </c>
      <c r="C1400" s="523" t="s">
        <v>286</v>
      </c>
      <c r="D1400" s="523">
        <v>10</v>
      </c>
      <c r="E1400" s="534">
        <v>30000</v>
      </c>
      <c r="F1400" s="556">
        <v>300000</v>
      </c>
    </row>
    <row r="1401" spans="1:6" ht="15.75">
      <c r="A1401" s="136">
        <v>12</v>
      </c>
      <c r="B1401" s="524" t="s">
        <v>4170</v>
      </c>
      <c r="C1401" s="524" t="s">
        <v>286</v>
      </c>
      <c r="D1401" s="524">
        <v>10</v>
      </c>
      <c r="E1401" s="533">
        <v>30000</v>
      </c>
      <c r="F1401" s="555">
        <v>300000</v>
      </c>
    </row>
    <row r="1402" spans="1:6" ht="15.75">
      <c r="A1402" s="136">
        <v>13</v>
      </c>
      <c r="B1402" s="523" t="s">
        <v>4171</v>
      </c>
      <c r="C1402" s="523" t="s">
        <v>286</v>
      </c>
      <c r="D1402" s="523">
        <v>10</v>
      </c>
      <c r="E1402" s="534">
        <v>30000</v>
      </c>
      <c r="F1402" s="556">
        <v>300000</v>
      </c>
    </row>
    <row r="1403" spans="1:6" ht="15.75">
      <c r="A1403" s="136">
        <v>14</v>
      </c>
      <c r="B1403" s="524" t="s">
        <v>4172</v>
      </c>
      <c r="C1403" s="524" t="s">
        <v>286</v>
      </c>
      <c r="D1403" s="524">
        <v>8</v>
      </c>
      <c r="E1403" s="533">
        <v>30000</v>
      </c>
      <c r="F1403" s="555">
        <v>240000</v>
      </c>
    </row>
    <row r="1404" spans="1:6" ht="15.75">
      <c r="A1404" s="136">
        <v>15</v>
      </c>
      <c r="B1404" s="523" t="s">
        <v>4173</v>
      </c>
      <c r="C1404" s="523" t="s">
        <v>286</v>
      </c>
      <c r="D1404" s="523">
        <v>8</v>
      </c>
      <c r="E1404" s="534">
        <v>15000</v>
      </c>
      <c r="F1404" s="556">
        <v>120000</v>
      </c>
    </row>
    <row r="1405" spans="1:6" ht="15.75">
      <c r="A1405" s="136">
        <v>16</v>
      </c>
      <c r="B1405" s="524" t="s">
        <v>4174</v>
      </c>
      <c r="C1405" s="524" t="s">
        <v>286</v>
      </c>
      <c r="D1405" s="524">
        <v>10</v>
      </c>
      <c r="E1405" s="533">
        <v>15000</v>
      </c>
      <c r="F1405" s="555">
        <v>150000</v>
      </c>
    </row>
    <row r="1406" spans="1:6" ht="15.75">
      <c r="A1406" s="136">
        <v>17</v>
      </c>
      <c r="B1406" s="523" t="s">
        <v>4175</v>
      </c>
      <c r="C1406" s="523" t="s">
        <v>286</v>
      </c>
      <c r="D1406" s="523">
        <v>8</v>
      </c>
      <c r="E1406" s="534">
        <v>15000</v>
      </c>
      <c r="F1406" s="556">
        <v>120000</v>
      </c>
    </row>
    <row r="1407" spans="1:6" ht="31.5">
      <c r="A1407" s="136">
        <v>18</v>
      </c>
      <c r="B1407" s="524" t="s">
        <v>4176</v>
      </c>
      <c r="C1407" s="524" t="s">
        <v>286</v>
      </c>
      <c r="D1407" s="524">
        <v>8</v>
      </c>
      <c r="E1407" s="533">
        <v>30000</v>
      </c>
      <c r="F1407" s="555">
        <v>240000</v>
      </c>
    </row>
    <row r="1408" spans="1:6" ht="15.75">
      <c r="A1408" s="136">
        <v>19</v>
      </c>
      <c r="B1408" s="523" t="s">
        <v>4177</v>
      </c>
      <c r="C1408" s="523" t="s">
        <v>286</v>
      </c>
      <c r="D1408" s="523">
        <v>20</v>
      </c>
      <c r="E1408" s="534">
        <v>30000</v>
      </c>
      <c r="F1408" s="556">
        <v>600000</v>
      </c>
    </row>
    <row r="1409" spans="1:6" ht="15.75">
      <c r="A1409" s="136">
        <v>20</v>
      </c>
      <c r="B1409" s="524" t="s">
        <v>4178</v>
      </c>
      <c r="C1409" s="524" t="s">
        <v>286</v>
      </c>
      <c r="D1409" s="524">
        <v>20</v>
      </c>
      <c r="E1409" s="533">
        <v>30000</v>
      </c>
      <c r="F1409" s="555">
        <v>600000</v>
      </c>
    </row>
    <row r="1410" spans="1:6" ht="15.75">
      <c r="A1410" s="136">
        <v>21</v>
      </c>
      <c r="B1410" s="523" t="s">
        <v>4179</v>
      </c>
      <c r="C1410" s="523" t="s">
        <v>286</v>
      </c>
      <c r="D1410" s="523">
        <v>20</v>
      </c>
      <c r="E1410" s="534">
        <v>30000</v>
      </c>
      <c r="F1410" s="556">
        <v>600000</v>
      </c>
    </row>
    <row r="1411" spans="1:6" ht="15.75">
      <c r="A1411" s="136">
        <v>22</v>
      </c>
      <c r="B1411" s="524" t="s">
        <v>4180</v>
      </c>
      <c r="C1411" s="524" t="s">
        <v>286</v>
      </c>
      <c r="D1411" s="524">
        <v>10</v>
      </c>
      <c r="E1411" s="533">
        <v>50000</v>
      </c>
      <c r="F1411" s="555">
        <v>500000</v>
      </c>
    </row>
    <row r="1412" spans="1:6" ht="15.75">
      <c r="A1412" s="136">
        <v>23</v>
      </c>
      <c r="B1412" s="523" t="s">
        <v>4181</v>
      </c>
      <c r="C1412" s="523" t="s">
        <v>286</v>
      </c>
      <c r="D1412" s="523">
        <v>30</v>
      </c>
      <c r="E1412" s="534">
        <v>30000</v>
      </c>
      <c r="F1412" s="556">
        <v>900000</v>
      </c>
    </row>
    <row r="1413" spans="1:6" ht="78.75">
      <c r="A1413" s="136">
        <v>24</v>
      </c>
      <c r="B1413" s="543" t="s">
        <v>4182</v>
      </c>
      <c r="C1413" s="543" t="s">
        <v>4183</v>
      </c>
      <c r="D1413" s="548">
        <v>1</v>
      </c>
      <c r="E1413" s="528">
        <v>8000000</v>
      </c>
      <c r="F1413" s="528">
        <v>8000000</v>
      </c>
    </row>
    <row r="1414" spans="1:6" ht="63">
      <c r="A1414" s="136">
        <v>25</v>
      </c>
      <c r="B1414" s="549" t="s">
        <v>4184</v>
      </c>
      <c r="C1414" s="549" t="s">
        <v>4183</v>
      </c>
      <c r="D1414" s="546">
        <v>1</v>
      </c>
      <c r="E1414" s="527">
        <v>5300000</v>
      </c>
      <c r="F1414" s="525">
        <v>5300000</v>
      </c>
    </row>
    <row r="1415" spans="1:6" ht="36" customHeight="1">
      <c r="A1415" s="136"/>
      <c r="B1415" s="1254" t="s">
        <v>4186</v>
      </c>
      <c r="C1415" s="1255"/>
      <c r="D1415" s="1255"/>
      <c r="E1415" s="1255"/>
      <c r="F1415" s="1255"/>
    </row>
    <row r="1416" spans="1:6" ht="31.5">
      <c r="A1416" s="136">
        <v>1</v>
      </c>
      <c r="B1416" s="523" t="s">
        <v>4187</v>
      </c>
      <c r="C1416" s="537" t="s">
        <v>3630</v>
      </c>
      <c r="D1416" s="537">
        <v>1</v>
      </c>
      <c r="E1416" s="580">
        <v>7652100</v>
      </c>
      <c r="F1416" s="556">
        <v>7652100</v>
      </c>
    </row>
    <row r="1417" spans="1:6" ht="31.5">
      <c r="A1417" s="136">
        <v>2</v>
      </c>
      <c r="B1417" s="524" t="s">
        <v>4188</v>
      </c>
      <c r="C1417" s="539" t="s">
        <v>3630</v>
      </c>
      <c r="D1417" s="539">
        <v>1</v>
      </c>
      <c r="E1417" s="654">
        <v>18237174.719999999</v>
      </c>
      <c r="F1417" s="555">
        <v>18237174.719999999</v>
      </c>
    </row>
    <row r="1418" spans="1:6" ht="31.5">
      <c r="A1418" s="136">
        <v>3</v>
      </c>
      <c r="B1418" s="537" t="s">
        <v>4189</v>
      </c>
      <c r="C1418" s="537" t="s">
        <v>3525</v>
      </c>
      <c r="D1418" s="537">
        <v>1</v>
      </c>
      <c r="E1418" s="580">
        <v>3200000</v>
      </c>
      <c r="F1418" s="556">
        <v>3200000</v>
      </c>
    </row>
    <row r="1419" spans="1:6" ht="31.5">
      <c r="A1419" s="136">
        <v>4</v>
      </c>
      <c r="B1419" s="539" t="s">
        <v>4190</v>
      </c>
      <c r="C1419" s="539" t="s">
        <v>3525</v>
      </c>
      <c r="D1419" s="539">
        <v>1</v>
      </c>
      <c r="E1419" s="587">
        <v>3200000</v>
      </c>
      <c r="F1419" s="555">
        <v>3200000</v>
      </c>
    </row>
    <row r="1420" spans="1:6" ht="31.5">
      <c r="A1420" s="136">
        <v>5</v>
      </c>
      <c r="B1420" s="537" t="s">
        <v>4191</v>
      </c>
      <c r="C1420" s="537" t="s">
        <v>3525</v>
      </c>
      <c r="D1420" s="537">
        <v>1</v>
      </c>
      <c r="E1420" s="580">
        <v>450000</v>
      </c>
      <c r="F1420" s="556">
        <v>450000</v>
      </c>
    </row>
    <row r="1421" spans="1:6" ht="31.5">
      <c r="A1421" s="136">
        <v>6</v>
      </c>
      <c r="B1421" s="539" t="s">
        <v>4192</v>
      </c>
      <c r="C1421" s="539" t="s">
        <v>3525</v>
      </c>
      <c r="D1421" s="539">
        <v>1</v>
      </c>
      <c r="E1421" s="587">
        <v>1820000</v>
      </c>
      <c r="F1421" s="555">
        <v>1820000</v>
      </c>
    </row>
    <row r="1422" spans="1:6" ht="15.75">
      <c r="A1422" s="136">
        <v>7</v>
      </c>
      <c r="B1422" s="537" t="s">
        <v>4193</v>
      </c>
      <c r="C1422" s="537" t="s">
        <v>3525</v>
      </c>
      <c r="D1422" s="537">
        <v>1</v>
      </c>
      <c r="E1422" s="580">
        <v>2300000</v>
      </c>
      <c r="F1422" s="556">
        <v>2300000</v>
      </c>
    </row>
    <row r="1423" spans="1:6" ht="15.75">
      <c r="A1423" s="136">
        <v>8</v>
      </c>
      <c r="B1423" s="539" t="s">
        <v>4194</v>
      </c>
      <c r="C1423" s="539" t="s">
        <v>3525</v>
      </c>
      <c r="D1423" s="539">
        <v>1</v>
      </c>
      <c r="E1423" s="587">
        <v>300000</v>
      </c>
      <c r="F1423" s="555">
        <v>300000</v>
      </c>
    </row>
    <row r="1424" spans="1:6" ht="15.75">
      <c r="A1424" s="136">
        <v>9</v>
      </c>
      <c r="B1424" s="537" t="s">
        <v>4195</v>
      </c>
      <c r="C1424" s="537" t="s">
        <v>3525</v>
      </c>
      <c r="D1424" s="537">
        <v>1</v>
      </c>
      <c r="E1424" s="580">
        <v>2100000</v>
      </c>
      <c r="F1424" s="556">
        <v>2100000</v>
      </c>
    </row>
    <row r="1425" spans="1:6" ht="15.75">
      <c r="A1425" s="136">
        <v>10</v>
      </c>
      <c r="B1425" s="539" t="s">
        <v>4196</v>
      </c>
      <c r="C1425" s="539" t="s">
        <v>3525</v>
      </c>
      <c r="D1425" s="539">
        <v>1</v>
      </c>
      <c r="E1425" s="587">
        <v>2100000</v>
      </c>
      <c r="F1425" s="555">
        <v>2100000</v>
      </c>
    </row>
    <row r="1426" spans="1:6" ht="15.75">
      <c r="A1426" s="136">
        <v>11</v>
      </c>
      <c r="B1426" s="537" t="s">
        <v>4197</v>
      </c>
      <c r="C1426" s="537" t="s">
        <v>3525</v>
      </c>
      <c r="D1426" s="537">
        <v>1</v>
      </c>
      <c r="E1426" s="580">
        <v>2100000</v>
      </c>
      <c r="F1426" s="556">
        <v>2100000</v>
      </c>
    </row>
    <row r="1427" spans="1:6" ht="18.75">
      <c r="A1427" s="136">
        <v>12</v>
      </c>
      <c r="B1427" s="524" t="s">
        <v>4198</v>
      </c>
      <c r="C1427" s="524" t="s">
        <v>286</v>
      </c>
      <c r="D1427" s="524">
        <v>5</v>
      </c>
      <c r="E1427" s="524">
        <v>70000</v>
      </c>
      <c r="F1427" s="555">
        <v>350000</v>
      </c>
    </row>
    <row r="1428" spans="1:6" ht="18.75">
      <c r="A1428" s="136">
        <v>13</v>
      </c>
      <c r="B1428" s="523" t="s">
        <v>4199</v>
      </c>
      <c r="C1428" s="523" t="s">
        <v>286</v>
      </c>
      <c r="D1428" s="523">
        <v>5</v>
      </c>
      <c r="E1428" s="523">
        <v>70000</v>
      </c>
      <c r="F1428" s="556">
        <v>350000</v>
      </c>
    </row>
    <row r="1429" spans="1:6" ht="18.75">
      <c r="A1429" s="136">
        <v>14</v>
      </c>
      <c r="B1429" s="524" t="s">
        <v>4200</v>
      </c>
      <c r="C1429" s="524" t="s">
        <v>286</v>
      </c>
      <c r="D1429" s="524">
        <v>5</v>
      </c>
      <c r="E1429" s="524">
        <v>73000</v>
      </c>
      <c r="F1429" s="555">
        <v>365000</v>
      </c>
    </row>
    <row r="1430" spans="1:6" ht="18.75">
      <c r="A1430" s="136">
        <v>15</v>
      </c>
      <c r="B1430" s="523" t="s">
        <v>4201</v>
      </c>
      <c r="C1430" s="523" t="s">
        <v>286</v>
      </c>
      <c r="D1430" s="523">
        <v>5</v>
      </c>
      <c r="E1430" s="523">
        <v>73000</v>
      </c>
      <c r="F1430" s="556">
        <v>365000</v>
      </c>
    </row>
    <row r="1431" spans="1:6" ht="18.75">
      <c r="A1431" s="136">
        <v>16</v>
      </c>
      <c r="B1431" s="524" t="s">
        <v>4202</v>
      </c>
      <c r="C1431" s="524" t="s">
        <v>286</v>
      </c>
      <c r="D1431" s="524">
        <v>5</v>
      </c>
      <c r="E1431" s="524">
        <v>75000</v>
      </c>
      <c r="F1431" s="555">
        <v>375000</v>
      </c>
    </row>
    <row r="1432" spans="1:6" ht="18.75">
      <c r="A1432" s="136">
        <v>17</v>
      </c>
      <c r="B1432" s="523" t="s">
        <v>4203</v>
      </c>
      <c r="C1432" s="523" t="s">
        <v>286</v>
      </c>
      <c r="D1432" s="523">
        <v>5</v>
      </c>
      <c r="E1432" s="523">
        <v>75000</v>
      </c>
      <c r="F1432" s="556">
        <v>375000</v>
      </c>
    </row>
    <row r="1433" spans="1:6" ht="34.5">
      <c r="A1433" s="136">
        <v>18</v>
      </c>
      <c r="B1433" s="524" t="s">
        <v>4204</v>
      </c>
      <c r="C1433" s="524" t="s">
        <v>286</v>
      </c>
      <c r="D1433" s="524">
        <v>5</v>
      </c>
      <c r="E1433" s="524">
        <v>78000</v>
      </c>
      <c r="F1433" s="555">
        <v>390000</v>
      </c>
    </row>
    <row r="1434" spans="1:6" ht="34.5">
      <c r="A1434" s="136">
        <v>19</v>
      </c>
      <c r="B1434" s="523" t="s">
        <v>4205</v>
      </c>
      <c r="C1434" s="523" t="s">
        <v>286</v>
      </c>
      <c r="D1434" s="523">
        <v>5</v>
      </c>
      <c r="E1434" s="523">
        <v>78000</v>
      </c>
      <c r="F1434" s="556">
        <v>390000</v>
      </c>
    </row>
    <row r="1435" spans="1:6" ht="34.5">
      <c r="A1435" s="136">
        <v>20</v>
      </c>
      <c r="B1435" s="524" t="s">
        <v>4206</v>
      </c>
      <c r="C1435" s="524" t="s">
        <v>286</v>
      </c>
      <c r="D1435" s="524">
        <v>5</v>
      </c>
      <c r="E1435" s="524">
        <v>79000</v>
      </c>
      <c r="F1435" s="555">
        <v>395000</v>
      </c>
    </row>
    <row r="1436" spans="1:6" ht="34.5">
      <c r="A1436" s="136">
        <v>21</v>
      </c>
      <c r="B1436" s="523" t="s">
        <v>4207</v>
      </c>
      <c r="C1436" s="523" t="s">
        <v>286</v>
      </c>
      <c r="D1436" s="523">
        <v>5</v>
      </c>
      <c r="E1436" s="523">
        <v>79000</v>
      </c>
      <c r="F1436" s="556">
        <v>395000</v>
      </c>
    </row>
    <row r="1437" spans="1:6" ht="15.75">
      <c r="A1437" s="136">
        <v>22</v>
      </c>
      <c r="B1437" s="524" t="s">
        <v>4208</v>
      </c>
      <c r="C1437" s="524" t="s">
        <v>286</v>
      </c>
      <c r="D1437" s="524">
        <v>10</v>
      </c>
      <c r="E1437" s="524">
        <v>12000</v>
      </c>
      <c r="F1437" s="555">
        <v>120000</v>
      </c>
    </row>
    <row r="1438" spans="1:6" ht="15.75">
      <c r="A1438" s="136">
        <v>23</v>
      </c>
      <c r="B1438" s="523" t="s">
        <v>4209</v>
      </c>
      <c r="C1438" s="523" t="s">
        <v>286</v>
      </c>
      <c r="D1438" s="523">
        <v>2</v>
      </c>
      <c r="E1438" s="534">
        <v>150000</v>
      </c>
      <c r="F1438" s="556">
        <v>300000</v>
      </c>
    </row>
    <row r="1439" spans="1:6" ht="15.75">
      <c r="A1439" s="136">
        <v>24</v>
      </c>
      <c r="B1439" s="524" t="s">
        <v>4210</v>
      </c>
      <c r="C1439" s="524" t="s">
        <v>286</v>
      </c>
      <c r="D1439" s="524">
        <v>2</v>
      </c>
      <c r="E1439" s="533">
        <v>150000</v>
      </c>
      <c r="F1439" s="555">
        <v>300000</v>
      </c>
    </row>
    <row r="1440" spans="1:6" ht="15.75">
      <c r="A1440" s="136">
        <v>25</v>
      </c>
      <c r="B1440" s="523" t="s">
        <v>4211</v>
      </c>
      <c r="C1440" s="523" t="s">
        <v>286</v>
      </c>
      <c r="D1440" s="523">
        <v>2</v>
      </c>
      <c r="E1440" s="534">
        <v>140000</v>
      </c>
      <c r="F1440" s="556">
        <v>280000</v>
      </c>
    </row>
    <row r="1441" spans="1:6" ht="31.5">
      <c r="A1441" s="136">
        <v>26</v>
      </c>
      <c r="B1441" s="524" t="s">
        <v>4212</v>
      </c>
      <c r="C1441" s="524" t="s">
        <v>286</v>
      </c>
      <c r="D1441" s="524">
        <v>10</v>
      </c>
      <c r="E1441" s="533">
        <v>140000</v>
      </c>
      <c r="F1441" s="555">
        <v>1400000</v>
      </c>
    </row>
    <row r="1442" spans="1:6" ht="15.75">
      <c r="A1442" s="136">
        <v>27</v>
      </c>
      <c r="B1442" s="523" t="s">
        <v>2170</v>
      </c>
      <c r="C1442" s="523" t="s">
        <v>4213</v>
      </c>
      <c r="D1442" s="523">
        <v>1</v>
      </c>
      <c r="E1442" s="523">
        <v>190000</v>
      </c>
      <c r="F1442" s="556">
        <v>190000</v>
      </c>
    </row>
    <row r="1443" spans="1:6" ht="15.75">
      <c r="A1443" s="136">
        <v>28</v>
      </c>
      <c r="B1443" s="524" t="s">
        <v>4214</v>
      </c>
      <c r="C1443" s="524" t="s">
        <v>432</v>
      </c>
      <c r="D1443" s="524">
        <v>20</v>
      </c>
      <c r="E1443" s="533">
        <v>30000</v>
      </c>
      <c r="F1443" s="555">
        <v>600000</v>
      </c>
    </row>
    <row r="1444" spans="1:6" ht="15.75">
      <c r="A1444" s="136">
        <v>29</v>
      </c>
      <c r="B1444" s="523" t="s">
        <v>4215</v>
      </c>
      <c r="C1444" s="523" t="s">
        <v>432</v>
      </c>
      <c r="D1444" s="523">
        <v>20</v>
      </c>
      <c r="E1444" s="534">
        <v>32000</v>
      </c>
      <c r="F1444" s="556">
        <v>640000</v>
      </c>
    </row>
    <row r="1445" spans="1:6" ht="15.75">
      <c r="A1445" s="136">
        <v>30</v>
      </c>
      <c r="B1445" s="524" t="s">
        <v>4216</v>
      </c>
      <c r="C1445" s="524" t="s">
        <v>432</v>
      </c>
      <c r="D1445" s="524">
        <v>20</v>
      </c>
      <c r="E1445" s="533">
        <v>45000</v>
      </c>
      <c r="F1445" s="555">
        <v>900000</v>
      </c>
    </row>
    <row r="1446" spans="1:6" ht="31.5">
      <c r="A1446" s="136">
        <v>31</v>
      </c>
      <c r="B1446" s="523" t="s">
        <v>4217</v>
      </c>
      <c r="C1446" s="523" t="s">
        <v>286</v>
      </c>
      <c r="D1446" s="523">
        <v>20</v>
      </c>
      <c r="E1446" s="523">
        <v>45000</v>
      </c>
      <c r="F1446" s="556">
        <v>900000</v>
      </c>
    </row>
    <row r="1447" spans="1:6" ht="31.5">
      <c r="A1447" s="136">
        <v>32</v>
      </c>
      <c r="B1447" s="543" t="s">
        <v>4218</v>
      </c>
      <c r="C1447" s="543" t="s">
        <v>286</v>
      </c>
      <c r="D1447" s="551">
        <v>3</v>
      </c>
      <c r="E1447" s="551">
        <v>8300000</v>
      </c>
      <c r="F1447" s="555">
        <v>24900000</v>
      </c>
    </row>
    <row r="1448" spans="1:6" ht="15.75">
      <c r="A1448" s="136">
        <v>33</v>
      </c>
      <c r="B1448" s="549" t="s">
        <v>4219</v>
      </c>
      <c r="C1448" s="549" t="s">
        <v>286</v>
      </c>
      <c r="D1448" s="550">
        <v>3</v>
      </c>
      <c r="E1448" s="550">
        <v>5000000</v>
      </c>
      <c r="F1448" s="556">
        <v>15000000</v>
      </c>
    </row>
    <row r="1449" spans="1:6" ht="31.5">
      <c r="A1449" s="136">
        <v>34</v>
      </c>
      <c r="B1449" s="543" t="s">
        <v>4220</v>
      </c>
      <c r="C1449" s="543" t="s">
        <v>286</v>
      </c>
      <c r="D1449" s="551">
        <v>4</v>
      </c>
      <c r="E1449" s="551">
        <v>2500000</v>
      </c>
      <c r="F1449" s="555">
        <v>10000000</v>
      </c>
    </row>
    <row r="1450" spans="1:6" ht="31.5">
      <c r="A1450" s="136">
        <v>35</v>
      </c>
      <c r="B1450" s="549" t="s">
        <v>4221</v>
      </c>
      <c r="C1450" s="549" t="s">
        <v>286</v>
      </c>
      <c r="D1450" s="549">
        <v>1</v>
      </c>
      <c r="E1450" s="549">
        <v>2650000</v>
      </c>
      <c r="F1450" s="556">
        <v>2650000</v>
      </c>
    </row>
    <row r="1451" spans="1:6" ht="31.5">
      <c r="A1451" s="136">
        <v>36</v>
      </c>
      <c r="B1451" s="543" t="s">
        <v>4126</v>
      </c>
      <c r="C1451" s="524" t="s">
        <v>286</v>
      </c>
      <c r="D1451" s="524">
        <v>1</v>
      </c>
      <c r="E1451" s="524">
        <v>1410000</v>
      </c>
      <c r="F1451" s="555">
        <v>1410000</v>
      </c>
    </row>
    <row r="1452" spans="1:6" ht="15.75">
      <c r="A1452" s="136">
        <v>37</v>
      </c>
      <c r="B1452" s="523" t="s">
        <v>4222</v>
      </c>
      <c r="C1452" s="549" t="s">
        <v>286</v>
      </c>
      <c r="D1452" s="523">
        <v>1</v>
      </c>
      <c r="E1452" s="534">
        <v>3000000</v>
      </c>
      <c r="F1452" s="556">
        <v>3000000</v>
      </c>
    </row>
    <row r="1453" spans="1:6" ht="31.5">
      <c r="A1453" s="136">
        <v>38</v>
      </c>
      <c r="B1453" s="543" t="s">
        <v>4223</v>
      </c>
      <c r="C1453" s="543" t="s">
        <v>286</v>
      </c>
      <c r="D1453" s="543">
        <v>1</v>
      </c>
      <c r="E1453" s="543">
        <v>2950000</v>
      </c>
      <c r="F1453" s="555">
        <v>2950000</v>
      </c>
    </row>
    <row r="1454" spans="1:6" ht="31.5">
      <c r="A1454" s="136">
        <v>39</v>
      </c>
      <c r="B1454" s="549" t="s">
        <v>4224</v>
      </c>
      <c r="C1454" s="549" t="s">
        <v>286</v>
      </c>
      <c r="D1454" s="549">
        <v>1</v>
      </c>
      <c r="E1454" s="549">
        <v>2850000</v>
      </c>
      <c r="F1454" s="556">
        <v>2850000</v>
      </c>
    </row>
    <row r="1455" spans="1:6" ht="15.75">
      <c r="F1455" s="656">
        <f>SUM(F4:F1419)</f>
        <v>3015182101.7199998</v>
      </c>
    </row>
  </sheetData>
  <mergeCells count="27">
    <mergeCell ref="E1:E2"/>
    <mergeCell ref="F1:F2"/>
    <mergeCell ref="A1:A2"/>
    <mergeCell ref="B1:B2"/>
    <mergeCell ref="C1:C2"/>
    <mergeCell ref="D1:D2"/>
    <mergeCell ref="B920:F920"/>
    <mergeCell ref="B1039:F1039"/>
    <mergeCell ref="B579:F579"/>
    <mergeCell ref="B604:F604"/>
    <mergeCell ref="B635:F635"/>
    <mergeCell ref="B648:F648"/>
    <mergeCell ref="B703:F703"/>
    <mergeCell ref="B711:F711"/>
    <mergeCell ref="B3:F3"/>
    <mergeCell ref="B826:F826"/>
    <mergeCell ref="B849:F849"/>
    <mergeCell ref="B852:F852"/>
    <mergeCell ref="B865:F865"/>
    <mergeCell ref="B300:F300"/>
    <mergeCell ref="B341:F341"/>
    <mergeCell ref="B390:F390"/>
    <mergeCell ref="B1183:F1183"/>
    <mergeCell ref="B1226:F1226"/>
    <mergeCell ref="B1384:F1384"/>
    <mergeCell ref="B1389:F1389"/>
    <mergeCell ref="B1415:F1415"/>
  </mergeCells>
  <hyperlinks>
    <hyperlink ref="B1152" r:id="rId1" display="https://td-sfera.com/product-category/puskateli-jelektromagnitnye/" xr:uid="{00000000-0004-0000-1000-000000000000}"/>
    <hyperlink ref="B1153" r:id="rId2" display="https://td-sfera.com/product-category/puskateli-jelektromagnitnye/" xr:uid="{00000000-0004-0000-1000-000001000000}"/>
  </hyperlinks>
  <pageMargins left="0.7" right="0.7" top="0.75" bottom="0.75" header="0.3" footer="0.3"/>
  <pageSetup paperSize="9" orientation="portrait" horizontalDpi="360"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2200"/>
  <sheetViews>
    <sheetView view="pageBreakPreview" zoomScale="60" zoomScaleNormal="70" workbookViewId="0">
      <pane ySplit="8" topLeftCell="A2085" activePane="bottomLeft" state="frozen"/>
      <selection activeCell="A12" sqref="A12"/>
      <selection pane="bottomLeft" activeCell="G1989" sqref="G1989"/>
    </sheetView>
  </sheetViews>
  <sheetFormatPr defaultColWidth="64.42578125" defaultRowHeight="15"/>
  <cols>
    <col min="1" max="1" width="5" style="167" bestFit="1" customWidth="1"/>
    <col min="2" max="2" width="63.85546875" style="806" bestFit="1" customWidth="1"/>
    <col min="3" max="3" width="67.140625" style="809" customWidth="1"/>
    <col min="4" max="4" width="20.7109375" style="809" customWidth="1"/>
    <col min="5" max="5" width="12.85546875" style="809" bestFit="1" customWidth="1"/>
    <col min="6" max="6" width="63" style="809" customWidth="1"/>
    <col min="7" max="7" width="13.85546875" style="809" customWidth="1"/>
    <col min="8" max="8" width="14" style="809" customWidth="1"/>
    <col min="9" max="9" width="14.28515625" style="809" customWidth="1"/>
    <col min="10" max="10" width="11" style="809" bestFit="1" customWidth="1"/>
  </cols>
  <sheetData>
    <row r="1" spans="1:10" s="174" customFormat="1" ht="38.25" customHeight="1">
      <c r="A1" s="60"/>
      <c r="B1" s="763"/>
      <c r="C1" s="807"/>
      <c r="D1" s="807"/>
      <c r="E1" s="807"/>
      <c r="F1" s="1079" t="s">
        <v>2704</v>
      </c>
      <c r="G1" s="1079"/>
      <c r="H1" s="1079"/>
      <c r="I1" s="1079"/>
      <c r="J1" s="1079"/>
    </row>
    <row r="2" spans="1:10" s="174" customFormat="1" ht="32.25" customHeight="1">
      <c r="A2" s="60"/>
      <c r="B2" s="763"/>
      <c r="C2" s="807"/>
      <c r="D2" s="807"/>
      <c r="E2" s="807"/>
      <c r="F2" s="1079" t="s">
        <v>2705</v>
      </c>
      <c r="G2" s="1079"/>
      <c r="H2" s="1079"/>
      <c r="I2" s="1079"/>
      <c r="J2" s="1079"/>
    </row>
    <row r="3" spans="1:10" s="174" customFormat="1" ht="28.5" customHeight="1">
      <c r="A3" s="60"/>
      <c r="B3" s="763"/>
      <c r="C3" s="807"/>
      <c r="D3" s="807"/>
      <c r="E3" s="807"/>
      <c r="F3" s="1079" t="s">
        <v>4698</v>
      </c>
      <c r="G3" s="1079"/>
      <c r="H3" s="1079"/>
      <c r="I3" s="1079"/>
      <c r="J3" s="1079"/>
    </row>
    <row r="4" spans="1:10" s="174" customFormat="1" ht="38.25" customHeight="1">
      <c r="A4" s="60"/>
      <c r="B4" s="763"/>
      <c r="C4" s="807"/>
      <c r="D4" s="807"/>
      <c r="E4" s="807"/>
      <c r="F4" s="1079" t="s">
        <v>4693</v>
      </c>
      <c r="G4" s="1079"/>
      <c r="H4" s="1079"/>
      <c r="I4" s="1079"/>
      <c r="J4" s="1079"/>
    </row>
    <row r="5" spans="1:10" s="669" customFormat="1" ht="38.25" customHeight="1">
      <c r="A5" s="1058" t="s">
        <v>2863</v>
      </c>
      <c r="B5" s="1058"/>
      <c r="C5" s="1058"/>
      <c r="D5" s="1058"/>
      <c r="E5" s="1058"/>
      <c r="F5" s="1058"/>
      <c r="G5" s="1058"/>
      <c r="H5" s="1058"/>
      <c r="I5" s="1058"/>
      <c r="J5" s="1058"/>
    </row>
    <row r="6" spans="1:10" s="58" customFormat="1" ht="30" customHeight="1">
      <c r="A6" s="1059"/>
      <c r="B6" s="1059"/>
      <c r="C6" s="1059"/>
      <c r="D6" s="1059"/>
      <c r="E6" s="1059"/>
      <c r="F6" s="1059"/>
      <c r="G6" s="1059"/>
      <c r="H6" s="1059"/>
      <c r="I6" s="1059"/>
      <c r="J6" s="1059"/>
    </row>
    <row r="7" spans="1:10" ht="18.75">
      <c r="A7" s="1063" t="s">
        <v>595</v>
      </c>
      <c r="B7" s="1065" t="s">
        <v>272</v>
      </c>
      <c r="C7" s="1065" t="s">
        <v>273</v>
      </c>
      <c r="D7" s="1065" t="s">
        <v>1</v>
      </c>
      <c r="E7" s="1065" t="s">
        <v>274</v>
      </c>
      <c r="F7" s="1067" t="s">
        <v>275</v>
      </c>
      <c r="G7" s="1060" t="s">
        <v>2</v>
      </c>
      <c r="H7" s="1061"/>
      <c r="I7" s="1061"/>
      <c r="J7" s="1062"/>
    </row>
    <row r="8" spans="1:10" ht="18.75">
      <c r="A8" s="1064"/>
      <c r="B8" s="1066"/>
      <c r="C8" s="1066"/>
      <c r="D8" s="1066"/>
      <c r="E8" s="1066"/>
      <c r="F8" s="1068"/>
      <c r="G8" s="137" t="s">
        <v>3</v>
      </c>
      <c r="H8" s="137" t="s">
        <v>4</v>
      </c>
      <c r="I8" s="137" t="s">
        <v>5</v>
      </c>
      <c r="J8" s="137" t="s">
        <v>6</v>
      </c>
    </row>
    <row r="9" spans="1:10" s="58" customFormat="1" ht="25.5">
      <c r="A9" s="1080" t="s">
        <v>2840</v>
      </c>
      <c r="B9" s="1081"/>
      <c r="C9" s="1081"/>
      <c r="D9" s="1081"/>
      <c r="E9" s="1081"/>
      <c r="F9" s="1081"/>
      <c r="G9" s="1081"/>
      <c r="H9" s="1081"/>
      <c r="I9" s="1081"/>
      <c r="J9" s="1082"/>
    </row>
    <row r="10" spans="1:10" ht="126">
      <c r="A10" s="138">
        <v>1</v>
      </c>
      <c r="B10" s="139" t="s">
        <v>20</v>
      </c>
      <c r="C10" s="140" t="s">
        <v>2720</v>
      </c>
      <c r="D10" s="140" t="s">
        <v>21</v>
      </c>
      <c r="E10" s="29">
        <v>78</v>
      </c>
      <c r="F10" s="140" t="s">
        <v>224</v>
      </c>
      <c r="G10" s="141">
        <v>24</v>
      </c>
      <c r="H10" s="141">
        <v>30</v>
      </c>
      <c r="I10" s="141">
        <v>24</v>
      </c>
      <c r="J10" s="141"/>
    </row>
    <row r="11" spans="1:10" ht="110.25" customHeight="1">
      <c r="A11" s="138">
        <v>2</v>
      </c>
      <c r="B11" s="139" t="s">
        <v>22</v>
      </c>
      <c r="C11" s="140" t="s">
        <v>2721</v>
      </c>
      <c r="D11" s="140" t="s">
        <v>126</v>
      </c>
      <c r="E11" s="29">
        <v>80</v>
      </c>
      <c r="F11" s="1023" t="s">
        <v>223</v>
      </c>
      <c r="G11" s="141">
        <v>20</v>
      </c>
      <c r="H11" s="141">
        <v>35</v>
      </c>
      <c r="I11" s="141">
        <v>25</v>
      </c>
      <c r="J11" s="141"/>
    </row>
    <row r="12" spans="1:10" ht="94.5">
      <c r="A12" s="138">
        <v>3</v>
      </c>
      <c r="B12" s="139" t="s">
        <v>22</v>
      </c>
      <c r="C12" s="140" t="s">
        <v>2722</v>
      </c>
      <c r="D12" s="140" t="s">
        <v>126</v>
      </c>
      <c r="E12" s="29">
        <v>81</v>
      </c>
      <c r="F12" s="1024"/>
      <c r="G12" s="141">
        <v>25</v>
      </c>
      <c r="H12" s="141">
        <v>28</v>
      </c>
      <c r="I12" s="141">
        <v>28</v>
      </c>
      <c r="J12" s="141"/>
    </row>
    <row r="13" spans="1:10" ht="63">
      <c r="A13" s="138">
        <v>4</v>
      </c>
      <c r="B13" s="139" t="s">
        <v>23</v>
      </c>
      <c r="C13" s="140" t="s">
        <v>2723</v>
      </c>
      <c r="D13" s="140" t="s">
        <v>126</v>
      </c>
      <c r="E13" s="29">
        <v>27</v>
      </c>
      <c r="F13" s="140" t="s">
        <v>222</v>
      </c>
      <c r="G13" s="141">
        <v>9</v>
      </c>
      <c r="H13" s="141">
        <v>9</v>
      </c>
      <c r="I13" s="141">
        <v>9</v>
      </c>
      <c r="J13" s="141"/>
    </row>
    <row r="14" spans="1:10" ht="47.25">
      <c r="A14" s="138">
        <v>5</v>
      </c>
      <c r="B14" s="139" t="s">
        <v>24</v>
      </c>
      <c r="C14" s="140" t="s">
        <v>2724</v>
      </c>
      <c r="D14" s="140" t="s">
        <v>126</v>
      </c>
      <c r="E14" s="29">
        <v>10</v>
      </c>
      <c r="F14" s="140" t="s">
        <v>221</v>
      </c>
      <c r="G14" s="141">
        <v>3</v>
      </c>
      <c r="H14" s="141">
        <v>4</v>
      </c>
      <c r="I14" s="141">
        <v>3</v>
      </c>
      <c r="J14" s="141"/>
    </row>
    <row r="15" spans="1:10" ht="63">
      <c r="A15" s="138">
        <v>6</v>
      </c>
      <c r="B15" s="139" t="s">
        <v>25</v>
      </c>
      <c r="C15" s="140" t="s">
        <v>26</v>
      </c>
      <c r="D15" s="140" t="s">
        <v>126</v>
      </c>
      <c r="E15" s="29">
        <v>1000</v>
      </c>
      <c r="F15" s="140" t="s">
        <v>28</v>
      </c>
      <c r="G15" s="141">
        <v>300</v>
      </c>
      <c r="H15" s="141">
        <v>350</v>
      </c>
      <c r="I15" s="141">
        <v>350</v>
      </c>
      <c r="J15" s="141"/>
    </row>
    <row r="16" spans="1:10" ht="96" customHeight="1">
      <c r="A16" s="142">
        <v>7</v>
      </c>
      <c r="B16" s="143" t="s">
        <v>30</v>
      </c>
      <c r="C16" s="144" t="s">
        <v>216</v>
      </c>
      <c r="D16" s="144" t="s">
        <v>126</v>
      </c>
      <c r="E16" s="140">
        <v>15</v>
      </c>
      <c r="F16" s="144" t="s">
        <v>220</v>
      </c>
      <c r="G16" s="145">
        <v>3</v>
      </c>
      <c r="H16" s="145">
        <v>6</v>
      </c>
      <c r="I16" s="145">
        <v>6</v>
      </c>
      <c r="J16" s="145"/>
    </row>
    <row r="17" spans="1:10" ht="189">
      <c r="A17" s="142">
        <v>8</v>
      </c>
      <c r="B17" s="143" t="s">
        <v>151</v>
      </c>
      <c r="C17" s="144" t="s">
        <v>217</v>
      </c>
      <c r="D17" s="144" t="s">
        <v>126</v>
      </c>
      <c r="E17" s="140">
        <v>5</v>
      </c>
      <c r="F17" s="144" t="s">
        <v>259</v>
      </c>
      <c r="G17" s="145">
        <v>1</v>
      </c>
      <c r="H17" s="145">
        <v>2</v>
      </c>
      <c r="I17" s="145">
        <v>2</v>
      </c>
      <c r="J17" s="145"/>
    </row>
    <row r="18" spans="1:10" ht="47.25" customHeight="1">
      <c r="A18" s="142">
        <v>9</v>
      </c>
      <c r="B18" s="146" t="s">
        <v>30</v>
      </c>
      <c r="C18" s="140" t="s">
        <v>2725</v>
      </c>
      <c r="D18" s="140" t="s">
        <v>126</v>
      </c>
      <c r="E18" s="140">
        <v>30</v>
      </c>
      <c r="F18" s="1023" t="s">
        <v>160</v>
      </c>
      <c r="G18" s="141">
        <v>9</v>
      </c>
      <c r="H18" s="141">
        <v>12</v>
      </c>
      <c r="I18" s="141">
        <v>9</v>
      </c>
      <c r="J18" s="141"/>
    </row>
    <row r="19" spans="1:10" ht="47.25">
      <c r="A19" s="142">
        <v>10</v>
      </c>
      <c r="B19" s="146" t="s">
        <v>30</v>
      </c>
      <c r="C19" s="140" t="s">
        <v>2726</v>
      </c>
      <c r="D19" s="140" t="s">
        <v>126</v>
      </c>
      <c r="E19" s="140">
        <v>15</v>
      </c>
      <c r="F19" s="1025"/>
      <c r="G19" s="141">
        <v>0</v>
      </c>
      <c r="H19" s="141">
        <v>15</v>
      </c>
      <c r="I19" s="141">
        <v>0</v>
      </c>
      <c r="J19" s="141"/>
    </row>
    <row r="20" spans="1:10" ht="31.5">
      <c r="A20" s="142">
        <v>11</v>
      </c>
      <c r="B20" s="146" t="s">
        <v>30</v>
      </c>
      <c r="C20" s="140" t="s">
        <v>2727</v>
      </c>
      <c r="D20" s="140" t="s">
        <v>126</v>
      </c>
      <c r="E20" s="140">
        <v>18</v>
      </c>
      <c r="F20" s="1024"/>
      <c r="G20" s="141">
        <v>6</v>
      </c>
      <c r="H20" s="141">
        <v>6</v>
      </c>
      <c r="I20" s="141">
        <v>6</v>
      </c>
      <c r="J20" s="141"/>
    </row>
    <row r="21" spans="1:10" ht="63">
      <c r="A21" s="142">
        <v>12</v>
      </c>
      <c r="B21" s="146" t="s">
        <v>177</v>
      </c>
      <c r="C21" s="140" t="s">
        <v>2728</v>
      </c>
      <c r="D21" s="140" t="s">
        <v>126</v>
      </c>
      <c r="E21" s="140">
        <v>4</v>
      </c>
      <c r="F21" s="140" t="s">
        <v>215</v>
      </c>
      <c r="G21" s="141">
        <v>0</v>
      </c>
      <c r="H21" s="141">
        <v>2</v>
      </c>
      <c r="I21" s="141">
        <v>2</v>
      </c>
      <c r="J21" s="141"/>
    </row>
    <row r="22" spans="1:10" ht="94.5">
      <c r="A22" s="142">
        <v>13</v>
      </c>
      <c r="B22" s="146" t="s">
        <v>178</v>
      </c>
      <c r="C22" s="140" t="s">
        <v>2729</v>
      </c>
      <c r="D22" s="140" t="s">
        <v>126</v>
      </c>
      <c r="E22" s="140">
        <v>5</v>
      </c>
      <c r="F22" s="140" t="s">
        <v>219</v>
      </c>
      <c r="G22" s="141">
        <v>1</v>
      </c>
      <c r="H22" s="141">
        <v>2</v>
      </c>
      <c r="I22" s="141">
        <v>2</v>
      </c>
      <c r="J22" s="141"/>
    </row>
    <row r="23" spans="1:10" ht="63">
      <c r="A23" s="142">
        <v>14</v>
      </c>
      <c r="B23" s="146" t="s">
        <v>170</v>
      </c>
      <c r="C23" s="140" t="s">
        <v>2730</v>
      </c>
      <c r="D23" s="140" t="s">
        <v>126</v>
      </c>
      <c r="E23" s="140">
        <v>6</v>
      </c>
      <c r="F23" s="140" t="s">
        <v>218</v>
      </c>
      <c r="G23" s="141">
        <v>2</v>
      </c>
      <c r="H23" s="141">
        <v>2</v>
      </c>
      <c r="I23" s="141">
        <v>2</v>
      </c>
      <c r="J23" s="141"/>
    </row>
    <row r="24" spans="1:10" ht="78.75">
      <c r="A24" s="138">
        <v>15</v>
      </c>
      <c r="B24" s="139" t="s">
        <v>33</v>
      </c>
      <c r="C24" s="140" t="s">
        <v>2731</v>
      </c>
      <c r="D24" s="140" t="s">
        <v>126</v>
      </c>
      <c r="E24" s="140">
        <v>3</v>
      </c>
      <c r="F24" s="140" t="s">
        <v>227</v>
      </c>
      <c r="G24" s="141"/>
      <c r="H24" s="141">
        <v>3</v>
      </c>
      <c r="I24" s="141"/>
      <c r="J24" s="141"/>
    </row>
    <row r="25" spans="1:10" s="58" customFormat="1" ht="141.75">
      <c r="A25" s="181">
        <v>16</v>
      </c>
      <c r="B25" s="179" t="s">
        <v>179</v>
      </c>
      <c r="C25" s="674" t="s">
        <v>2732</v>
      </c>
      <c r="D25" s="674" t="s">
        <v>126</v>
      </c>
      <c r="E25" s="674">
        <v>4</v>
      </c>
      <c r="F25" s="226" t="s">
        <v>226</v>
      </c>
      <c r="G25" s="670">
        <v>1</v>
      </c>
      <c r="H25" s="670">
        <v>2</v>
      </c>
      <c r="I25" s="670">
        <v>1</v>
      </c>
      <c r="J25" s="670"/>
    </row>
    <row r="26" spans="1:10" ht="126">
      <c r="A26" s="54">
        <v>17</v>
      </c>
      <c r="B26" s="139" t="s">
        <v>180</v>
      </c>
      <c r="C26" s="140" t="s">
        <v>2849</v>
      </c>
      <c r="D26" s="140" t="s">
        <v>126</v>
      </c>
      <c r="E26" s="140">
        <v>6</v>
      </c>
      <c r="F26" s="140" t="s">
        <v>228</v>
      </c>
      <c r="G26" s="141">
        <v>2</v>
      </c>
      <c r="H26" s="141">
        <v>2</v>
      </c>
      <c r="I26" s="141">
        <v>2</v>
      </c>
      <c r="J26" s="141"/>
    </row>
    <row r="27" spans="1:10" ht="78.75">
      <c r="A27" s="138">
        <v>18</v>
      </c>
      <c r="B27" s="139" t="s">
        <v>179</v>
      </c>
      <c r="C27" s="140" t="s">
        <v>2733</v>
      </c>
      <c r="D27" s="140" t="s">
        <v>126</v>
      </c>
      <c r="E27" s="140">
        <v>2</v>
      </c>
      <c r="F27" s="140" t="s">
        <v>225</v>
      </c>
      <c r="G27" s="141"/>
      <c r="H27" s="141">
        <v>1</v>
      </c>
      <c r="I27" s="141">
        <v>1</v>
      </c>
      <c r="J27" s="141"/>
    </row>
    <row r="28" spans="1:10" ht="126">
      <c r="A28" s="54">
        <v>19</v>
      </c>
      <c r="B28" s="139" t="s">
        <v>181</v>
      </c>
      <c r="C28" s="140" t="s">
        <v>2734</v>
      </c>
      <c r="D28" s="140" t="s">
        <v>126</v>
      </c>
      <c r="E28" s="140">
        <v>1</v>
      </c>
      <c r="F28" s="140" t="s">
        <v>229</v>
      </c>
      <c r="G28" s="141"/>
      <c r="H28" s="141">
        <v>1</v>
      </c>
      <c r="I28" s="141"/>
      <c r="J28" s="141"/>
    </row>
    <row r="29" spans="1:10" ht="94.5">
      <c r="A29" s="138">
        <v>20</v>
      </c>
      <c r="B29" s="139" t="s">
        <v>33</v>
      </c>
      <c r="C29" s="140" t="s">
        <v>2735</v>
      </c>
      <c r="D29" s="140" t="s">
        <v>126</v>
      </c>
      <c r="E29" s="140">
        <v>1</v>
      </c>
      <c r="F29" s="140" t="s">
        <v>34</v>
      </c>
      <c r="G29" s="141"/>
      <c r="H29" s="141">
        <v>1</v>
      </c>
      <c r="I29" s="141"/>
      <c r="J29" s="141"/>
    </row>
    <row r="30" spans="1:10" ht="141.75">
      <c r="A30" s="54">
        <v>21</v>
      </c>
      <c r="B30" s="139" t="s">
        <v>33</v>
      </c>
      <c r="C30" s="147" t="s">
        <v>2736</v>
      </c>
      <c r="D30" s="140" t="s">
        <v>126</v>
      </c>
      <c r="E30" s="140">
        <v>2</v>
      </c>
      <c r="F30" s="140" t="s">
        <v>161</v>
      </c>
      <c r="G30" s="141"/>
      <c r="H30" s="141">
        <v>1</v>
      </c>
      <c r="I30" s="141">
        <v>1</v>
      </c>
      <c r="J30" s="141"/>
    </row>
    <row r="31" spans="1:10" ht="78.75" customHeight="1">
      <c r="A31" s="138">
        <v>22</v>
      </c>
      <c r="B31" s="139" t="s">
        <v>182</v>
      </c>
      <c r="C31" s="140" t="s">
        <v>2737</v>
      </c>
      <c r="D31" s="140" t="s">
        <v>126</v>
      </c>
      <c r="E31" s="140">
        <v>3</v>
      </c>
      <c r="F31" s="1023" t="s">
        <v>260</v>
      </c>
      <c r="G31" s="141">
        <v>1</v>
      </c>
      <c r="H31" s="141">
        <v>1</v>
      </c>
      <c r="I31" s="141">
        <v>1</v>
      </c>
      <c r="J31" s="141"/>
    </row>
    <row r="32" spans="1:10" ht="63">
      <c r="A32" s="54">
        <v>23</v>
      </c>
      <c r="B32" s="139" t="s">
        <v>33</v>
      </c>
      <c r="C32" s="140" t="s">
        <v>2738</v>
      </c>
      <c r="D32" s="140"/>
      <c r="E32" s="140">
        <v>3</v>
      </c>
      <c r="F32" s="1024"/>
      <c r="G32" s="141">
        <v>1</v>
      </c>
      <c r="H32" s="141">
        <v>1</v>
      </c>
      <c r="I32" s="141">
        <v>1</v>
      </c>
      <c r="J32" s="141"/>
    </row>
    <row r="33" spans="1:10" ht="63">
      <c r="A33" s="138">
        <v>24</v>
      </c>
      <c r="B33" s="148" t="s">
        <v>172</v>
      </c>
      <c r="C33" s="140" t="s">
        <v>37</v>
      </c>
      <c r="D33" s="140" t="s">
        <v>126</v>
      </c>
      <c r="E33" s="140">
        <v>100</v>
      </c>
      <c r="F33" s="140" t="s">
        <v>38</v>
      </c>
      <c r="G33" s="141">
        <v>30</v>
      </c>
      <c r="H33" s="141">
        <v>40</v>
      </c>
      <c r="I33" s="141">
        <v>30</v>
      </c>
      <c r="J33" s="141"/>
    </row>
    <row r="34" spans="1:10" ht="94.5">
      <c r="A34" s="138">
        <v>25</v>
      </c>
      <c r="B34" s="139" t="s">
        <v>171</v>
      </c>
      <c r="C34" s="140" t="s">
        <v>39</v>
      </c>
      <c r="D34" s="140" t="s">
        <v>126</v>
      </c>
      <c r="E34" s="140">
        <v>35</v>
      </c>
      <c r="F34" s="140" t="s">
        <v>40</v>
      </c>
      <c r="G34" s="141">
        <v>10</v>
      </c>
      <c r="H34" s="141">
        <v>15</v>
      </c>
      <c r="I34" s="141">
        <v>10</v>
      </c>
      <c r="J34" s="141"/>
    </row>
    <row r="35" spans="1:10" ht="126">
      <c r="A35" s="138">
        <v>26</v>
      </c>
      <c r="B35" s="139" t="s">
        <v>183</v>
      </c>
      <c r="C35" s="140" t="s">
        <v>41</v>
      </c>
      <c r="D35" s="140" t="s">
        <v>126</v>
      </c>
      <c r="E35" s="140">
        <v>39</v>
      </c>
      <c r="F35" s="140" t="s">
        <v>42</v>
      </c>
      <c r="G35" s="141">
        <v>10</v>
      </c>
      <c r="H35" s="141">
        <v>20</v>
      </c>
      <c r="I35" s="141">
        <v>9</v>
      </c>
      <c r="J35" s="141"/>
    </row>
    <row r="36" spans="1:10" ht="126">
      <c r="A36" s="138">
        <v>27</v>
      </c>
      <c r="B36" s="139" t="s">
        <v>7</v>
      </c>
      <c r="C36" s="140" t="s">
        <v>2739</v>
      </c>
      <c r="D36" s="140" t="s">
        <v>126</v>
      </c>
      <c r="E36" s="140">
        <v>13</v>
      </c>
      <c r="F36" s="101" t="s">
        <v>230</v>
      </c>
      <c r="G36" s="141">
        <v>4</v>
      </c>
      <c r="H36" s="141">
        <v>5</v>
      </c>
      <c r="I36" s="141">
        <v>4</v>
      </c>
      <c r="J36" s="141"/>
    </row>
    <row r="37" spans="1:10" ht="47.25">
      <c r="A37" s="138">
        <v>28</v>
      </c>
      <c r="B37" s="139" t="s">
        <v>7</v>
      </c>
      <c r="C37" s="140" t="s">
        <v>2740</v>
      </c>
      <c r="D37" s="140" t="s">
        <v>126</v>
      </c>
      <c r="E37" s="140">
        <v>15</v>
      </c>
      <c r="F37" s="750"/>
      <c r="G37" s="141">
        <v>5</v>
      </c>
      <c r="H37" s="141">
        <v>5</v>
      </c>
      <c r="I37" s="141">
        <v>5</v>
      </c>
      <c r="J37" s="141"/>
    </row>
    <row r="38" spans="1:10" ht="78.75">
      <c r="A38" s="138">
        <v>29</v>
      </c>
      <c r="B38" s="139" t="s">
        <v>7</v>
      </c>
      <c r="C38" s="140" t="s">
        <v>2741</v>
      </c>
      <c r="D38" s="140" t="s">
        <v>126</v>
      </c>
      <c r="E38" s="140">
        <v>31</v>
      </c>
      <c r="F38" s="750"/>
      <c r="G38" s="141">
        <v>9</v>
      </c>
      <c r="H38" s="141">
        <v>12</v>
      </c>
      <c r="I38" s="141">
        <v>10</v>
      </c>
      <c r="J38" s="141"/>
    </row>
    <row r="39" spans="1:10" ht="141.75">
      <c r="A39" s="138">
        <v>30</v>
      </c>
      <c r="B39" s="139" t="s">
        <v>7</v>
      </c>
      <c r="C39" s="140" t="s">
        <v>2742</v>
      </c>
      <c r="D39" s="140" t="s">
        <v>126</v>
      </c>
      <c r="E39" s="140">
        <v>27</v>
      </c>
      <c r="F39" s="101" t="s">
        <v>2743</v>
      </c>
      <c r="G39" s="141">
        <v>8</v>
      </c>
      <c r="H39" s="141">
        <v>11</v>
      </c>
      <c r="I39" s="141">
        <v>8</v>
      </c>
      <c r="J39" s="141"/>
    </row>
    <row r="40" spans="1:10" ht="47.25">
      <c r="A40" s="138">
        <v>31</v>
      </c>
      <c r="B40" s="139" t="s">
        <v>7</v>
      </c>
      <c r="C40" s="140" t="s">
        <v>2744</v>
      </c>
      <c r="D40" s="140" t="s">
        <v>126</v>
      </c>
      <c r="E40" s="140">
        <v>28</v>
      </c>
      <c r="F40" s="750"/>
      <c r="G40" s="141">
        <v>8</v>
      </c>
      <c r="H40" s="141">
        <v>10</v>
      </c>
      <c r="I40" s="141">
        <v>10</v>
      </c>
      <c r="J40" s="141"/>
    </row>
    <row r="41" spans="1:10" ht="47.25">
      <c r="A41" s="138">
        <v>32</v>
      </c>
      <c r="B41" s="139" t="s">
        <v>7</v>
      </c>
      <c r="C41" s="140" t="s">
        <v>2745</v>
      </c>
      <c r="D41" s="140" t="s">
        <v>126</v>
      </c>
      <c r="E41" s="140">
        <v>31</v>
      </c>
      <c r="F41" s="750"/>
      <c r="G41" s="141">
        <v>9</v>
      </c>
      <c r="H41" s="141">
        <v>13</v>
      </c>
      <c r="I41" s="141">
        <v>9</v>
      </c>
      <c r="J41" s="141"/>
    </row>
    <row r="42" spans="1:10" ht="94.5">
      <c r="A42" s="138">
        <v>33</v>
      </c>
      <c r="B42" s="139" t="s">
        <v>7</v>
      </c>
      <c r="C42" s="140" t="s">
        <v>2746</v>
      </c>
      <c r="D42" s="140" t="s">
        <v>126</v>
      </c>
      <c r="E42" s="140">
        <v>30</v>
      </c>
      <c r="F42" s="750"/>
      <c r="G42" s="141">
        <v>0</v>
      </c>
      <c r="H42" s="141">
        <v>15</v>
      </c>
      <c r="I42" s="141">
        <v>15</v>
      </c>
      <c r="J42" s="141"/>
    </row>
    <row r="43" spans="1:10" ht="78.75">
      <c r="A43" s="138">
        <v>34</v>
      </c>
      <c r="B43" s="139" t="s">
        <v>7</v>
      </c>
      <c r="C43" s="140" t="s">
        <v>2747</v>
      </c>
      <c r="D43" s="140" t="s">
        <v>126</v>
      </c>
      <c r="E43" s="140">
        <v>30</v>
      </c>
      <c r="F43" s="750"/>
      <c r="G43" s="141">
        <v>0</v>
      </c>
      <c r="H43" s="141">
        <v>15</v>
      </c>
      <c r="I43" s="141">
        <v>15</v>
      </c>
      <c r="J43" s="141"/>
    </row>
    <row r="44" spans="1:10" ht="126">
      <c r="A44" s="138">
        <v>35</v>
      </c>
      <c r="B44" s="139" t="s">
        <v>11</v>
      </c>
      <c r="C44" s="140" t="s">
        <v>2748</v>
      </c>
      <c r="D44" s="140" t="s">
        <v>126</v>
      </c>
      <c r="E44" s="140">
        <v>16</v>
      </c>
      <c r="F44" s="171" t="s">
        <v>231</v>
      </c>
      <c r="G44" s="141">
        <v>6</v>
      </c>
      <c r="H44" s="141">
        <v>5</v>
      </c>
      <c r="I44" s="141">
        <v>5</v>
      </c>
      <c r="J44" s="141"/>
    </row>
    <row r="45" spans="1:10" ht="78.75">
      <c r="A45" s="138">
        <v>36</v>
      </c>
      <c r="B45" s="139" t="s">
        <v>11</v>
      </c>
      <c r="C45" s="140" t="s">
        <v>2749</v>
      </c>
      <c r="D45" s="140" t="s">
        <v>126</v>
      </c>
      <c r="E45" s="140">
        <v>18</v>
      </c>
      <c r="F45" s="183"/>
      <c r="G45" s="141">
        <v>6</v>
      </c>
      <c r="H45" s="141">
        <v>6</v>
      </c>
      <c r="I45" s="141">
        <v>6</v>
      </c>
      <c r="J45" s="141"/>
    </row>
    <row r="46" spans="1:10" ht="78.75">
      <c r="A46" s="138">
        <v>37</v>
      </c>
      <c r="B46" s="139" t="s">
        <v>11</v>
      </c>
      <c r="C46" s="140" t="s">
        <v>2750</v>
      </c>
      <c r="D46" s="140" t="s">
        <v>126</v>
      </c>
      <c r="E46" s="140">
        <v>16</v>
      </c>
      <c r="F46" s="183"/>
      <c r="G46" s="141">
        <v>4</v>
      </c>
      <c r="H46" s="141">
        <v>8</v>
      </c>
      <c r="I46" s="141">
        <v>4</v>
      </c>
      <c r="J46" s="141"/>
    </row>
    <row r="47" spans="1:10" ht="78.75">
      <c r="A47" s="138">
        <v>38</v>
      </c>
      <c r="B47" s="139" t="s">
        <v>12</v>
      </c>
      <c r="C47" s="140" t="s">
        <v>2751</v>
      </c>
      <c r="D47" s="140" t="s">
        <v>126</v>
      </c>
      <c r="E47" s="140">
        <v>14</v>
      </c>
      <c r="F47" s="183"/>
      <c r="G47" s="141">
        <v>4</v>
      </c>
      <c r="H47" s="141">
        <v>6</v>
      </c>
      <c r="I47" s="141">
        <v>4</v>
      </c>
      <c r="J47" s="141"/>
    </row>
    <row r="48" spans="1:10" ht="78.75">
      <c r="A48" s="138">
        <v>39</v>
      </c>
      <c r="B48" s="139" t="s">
        <v>12</v>
      </c>
      <c r="C48" s="140" t="s">
        <v>2752</v>
      </c>
      <c r="D48" s="140" t="s">
        <v>126</v>
      </c>
      <c r="E48" s="140">
        <v>14</v>
      </c>
      <c r="F48" s="183"/>
      <c r="G48" s="141">
        <v>4</v>
      </c>
      <c r="H48" s="141">
        <v>6</v>
      </c>
      <c r="I48" s="141">
        <v>4</v>
      </c>
      <c r="J48" s="141"/>
    </row>
    <row r="49" spans="1:10" ht="141.75">
      <c r="A49" s="138">
        <v>40</v>
      </c>
      <c r="B49" s="139" t="s">
        <v>13</v>
      </c>
      <c r="C49" s="140" t="s">
        <v>2753</v>
      </c>
      <c r="D49" s="140" t="s">
        <v>126</v>
      </c>
      <c r="E49" s="140">
        <v>10</v>
      </c>
      <c r="F49" s="183" t="s">
        <v>232</v>
      </c>
      <c r="G49" s="141">
        <v>3</v>
      </c>
      <c r="H49" s="141">
        <v>4</v>
      </c>
      <c r="I49" s="141">
        <v>3</v>
      </c>
      <c r="J49" s="141"/>
    </row>
    <row r="50" spans="1:10" ht="31.5">
      <c r="A50" s="138">
        <v>41</v>
      </c>
      <c r="B50" s="139" t="s">
        <v>13</v>
      </c>
      <c r="C50" s="140" t="s">
        <v>2754</v>
      </c>
      <c r="D50" s="140" t="s">
        <v>126</v>
      </c>
      <c r="E50" s="140">
        <v>12</v>
      </c>
      <c r="F50" s="183"/>
      <c r="G50" s="141">
        <v>4</v>
      </c>
      <c r="H50" s="141">
        <v>4</v>
      </c>
      <c r="I50" s="141">
        <v>4</v>
      </c>
      <c r="J50" s="141"/>
    </row>
    <row r="51" spans="1:10" ht="110.25">
      <c r="A51" s="138">
        <v>42</v>
      </c>
      <c r="B51" s="139" t="s">
        <v>14</v>
      </c>
      <c r="C51" s="140" t="s">
        <v>2755</v>
      </c>
      <c r="D51" s="140" t="s">
        <v>126</v>
      </c>
      <c r="E51" s="140">
        <v>12</v>
      </c>
      <c r="F51" s="183"/>
      <c r="G51" s="141">
        <v>4</v>
      </c>
      <c r="H51" s="141">
        <v>4</v>
      </c>
      <c r="I51" s="141">
        <v>4</v>
      </c>
      <c r="J51" s="141"/>
    </row>
    <row r="52" spans="1:10" ht="157.5">
      <c r="A52" s="138">
        <v>43</v>
      </c>
      <c r="B52" s="139" t="s">
        <v>17</v>
      </c>
      <c r="C52" s="140" t="s">
        <v>2756</v>
      </c>
      <c r="D52" s="140" t="s">
        <v>126</v>
      </c>
      <c r="E52" s="29">
        <v>22</v>
      </c>
      <c r="F52" s="171" t="s">
        <v>233</v>
      </c>
      <c r="G52" s="141">
        <v>6</v>
      </c>
      <c r="H52" s="141">
        <v>10</v>
      </c>
      <c r="I52" s="141">
        <v>6</v>
      </c>
      <c r="J52" s="141"/>
    </row>
    <row r="53" spans="1:10" ht="47.25">
      <c r="A53" s="138">
        <v>44</v>
      </c>
      <c r="B53" s="139" t="s">
        <v>17</v>
      </c>
      <c r="C53" s="140" t="s">
        <v>2757</v>
      </c>
      <c r="D53" s="140" t="s">
        <v>126</v>
      </c>
      <c r="E53" s="29">
        <v>18</v>
      </c>
      <c r="F53" s="183"/>
      <c r="G53" s="141">
        <v>6</v>
      </c>
      <c r="H53" s="141">
        <v>6</v>
      </c>
      <c r="I53" s="141">
        <v>6</v>
      </c>
      <c r="J53" s="141"/>
    </row>
    <row r="54" spans="1:10" ht="78.75">
      <c r="A54" s="138">
        <v>45</v>
      </c>
      <c r="B54" s="139" t="s">
        <v>17</v>
      </c>
      <c r="C54" s="140" t="s">
        <v>2758</v>
      </c>
      <c r="D54" s="140" t="s">
        <v>126</v>
      </c>
      <c r="E54" s="29">
        <v>22</v>
      </c>
      <c r="F54" s="183"/>
      <c r="G54" s="141">
        <v>7</v>
      </c>
      <c r="H54" s="141">
        <v>8</v>
      </c>
      <c r="I54" s="141">
        <v>7</v>
      </c>
      <c r="J54" s="141"/>
    </row>
    <row r="55" spans="1:10" ht="47.25">
      <c r="A55" s="138">
        <v>46</v>
      </c>
      <c r="B55" s="139" t="s">
        <v>17</v>
      </c>
      <c r="C55" s="140" t="s">
        <v>2851</v>
      </c>
      <c r="D55" s="140" t="s">
        <v>126</v>
      </c>
      <c r="E55" s="29">
        <v>24</v>
      </c>
      <c r="F55" s="183"/>
      <c r="G55" s="141">
        <v>0</v>
      </c>
      <c r="H55" s="141">
        <v>14</v>
      </c>
      <c r="I55" s="141">
        <v>10</v>
      </c>
      <c r="J55" s="141"/>
    </row>
    <row r="56" spans="1:10" ht="47.25">
      <c r="A56" s="138">
        <v>47</v>
      </c>
      <c r="B56" s="139" t="s">
        <v>17</v>
      </c>
      <c r="C56" s="140" t="s">
        <v>2852</v>
      </c>
      <c r="D56" s="140" t="s">
        <v>126</v>
      </c>
      <c r="E56" s="29">
        <v>24</v>
      </c>
      <c r="F56" s="183"/>
      <c r="G56" s="141">
        <v>0</v>
      </c>
      <c r="H56" s="141">
        <v>14</v>
      </c>
      <c r="I56" s="141">
        <v>10</v>
      </c>
      <c r="J56" s="141"/>
    </row>
    <row r="57" spans="1:10" ht="94.5">
      <c r="A57" s="138">
        <v>48</v>
      </c>
      <c r="B57" s="139" t="s">
        <v>168</v>
      </c>
      <c r="C57" s="140" t="s">
        <v>169</v>
      </c>
      <c r="D57" s="140" t="s">
        <v>126</v>
      </c>
      <c r="E57" s="29">
        <v>5</v>
      </c>
      <c r="F57" s="140" t="s">
        <v>234</v>
      </c>
      <c r="G57" s="141"/>
      <c r="H57" s="141">
        <v>5</v>
      </c>
      <c r="I57" s="141"/>
      <c r="J57" s="141"/>
    </row>
    <row r="58" spans="1:10" ht="110.25">
      <c r="A58" s="138">
        <v>49</v>
      </c>
      <c r="B58" s="139" t="s">
        <v>45</v>
      </c>
      <c r="C58" s="140" t="s">
        <v>2761</v>
      </c>
      <c r="D58" s="140" t="s">
        <v>126</v>
      </c>
      <c r="E58" s="140">
        <v>6</v>
      </c>
      <c r="F58" s="171" t="s">
        <v>235</v>
      </c>
      <c r="G58" s="141">
        <v>2</v>
      </c>
      <c r="H58" s="141">
        <v>2</v>
      </c>
      <c r="I58" s="141">
        <v>2</v>
      </c>
      <c r="J58" s="141"/>
    </row>
    <row r="59" spans="1:10" ht="78.75">
      <c r="A59" s="138">
        <v>50</v>
      </c>
      <c r="B59" s="139" t="s">
        <v>45</v>
      </c>
      <c r="C59" s="140" t="s">
        <v>2762</v>
      </c>
      <c r="D59" s="140" t="s">
        <v>126</v>
      </c>
      <c r="E59" s="140">
        <v>6</v>
      </c>
      <c r="F59" s="183"/>
      <c r="G59" s="141">
        <v>2</v>
      </c>
      <c r="H59" s="141">
        <v>2</v>
      </c>
      <c r="I59" s="141">
        <v>2</v>
      </c>
      <c r="J59" s="141"/>
    </row>
    <row r="60" spans="1:10" ht="110.25">
      <c r="A60" s="138">
        <v>51</v>
      </c>
      <c r="B60" s="139" t="s">
        <v>46</v>
      </c>
      <c r="C60" s="140" t="s">
        <v>2763</v>
      </c>
      <c r="D60" s="140" t="s">
        <v>126</v>
      </c>
      <c r="E60" s="140">
        <v>6</v>
      </c>
      <c r="F60" s="140" t="s">
        <v>162</v>
      </c>
      <c r="G60" s="141"/>
      <c r="H60" s="141">
        <v>3</v>
      </c>
      <c r="I60" s="141">
        <v>3</v>
      </c>
      <c r="J60" s="141"/>
    </row>
    <row r="61" spans="1:10" ht="78.75">
      <c r="A61" s="138">
        <v>52</v>
      </c>
      <c r="B61" s="139" t="s">
        <v>184</v>
      </c>
      <c r="C61" s="140" t="s">
        <v>47</v>
      </c>
      <c r="D61" s="140" t="s">
        <v>126</v>
      </c>
      <c r="E61" s="140">
        <v>16</v>
      </c>
      <c r="F61" s="140" t="s">
        <v>214</v>
      </c>
      <c r="G61" s="141">
        <v>6</v>
      </c>
      <c r="H61" s="141">
        <v>5</v>
      </c>
      <c r="I61" s="141">
        <v>5</v>
      </c>
      <c r="J61" s="141"/>
    </row>
    <row r="62" spans="1:10" ht="110.25">
      <c r="A62" s="138">
        <v>53</v>
      </c>
      <c r="B62" s="139" t="s">
        <v>173</v>
      </c>
      <c r="C62" s="140" t="s">
        <v>2764</v>
      </c>
      <c r="D62" s="140" t="s">
        <v>126</v>
      </c>
      <c r="E62" s="140">
        <v>5</v>
      </c>
      <c r="F62" s="140" t="s">
        <v>236</v>
      </c>
      <c r="G62" s="141">
        <v>0</v>
      </c>
      <c r="H62" s="141">
        <v>5</v>
      </c>
      <c r="I62" s="141">
        <v>0</v>
      </c>
      <c r="J62" s="141">
        <v>0</v>
      </c>
    </row>
    <row r="63" spans="1:10" ht="110.25">
      <c r="A63" s="138">
        <v>54</v>
      </c>
      <c r="B63" s="139" t="s">
        <v>50</v>
      </c>
      <c r="C63" s="140" t="s">
        <v>2765</v>
      </c>
      <c r="D63" s="140" t="s">
        <v>126</v>
      </c>
      <c r="E63" s="140">
        <v>16</v>
      </c>
      <c r="F63" s="140" t="s">
        <v>237</v>
      </c>
      <c r="G63" s="141">
        <v>5</v>
      </c>
      <c r="H63" s="141">
        <v>6</v>
      </c>
      <c r="I63" s="141">
        <v>5</v>
      </c>
      <c r="J63" s="141"/>
    </row>
    <row r="64" spans="1:10" ht="110.25">
      <c r="A64" s="138">
        <v>55</v>
      </c>
      <c r="B64" s="139" t="s">
        <v>51</v>
      </c>
      <c r="C64" s="140" t="s">
        <v>52</v>
      </c>
      <c r="D64" s="140" t="s">
        <v>126</v>
      </c>
      <c r="E64" s="140">
        <v>17</v>
      </c>
      <c r="F64" s="140" t="s">
        <v>238</v>
      </c>
      <c r="G64" s="141">
        <v>5</v>
      </c>
      <c r="H64" s="141">
        <v>6</v>
      </c>
      <c r="I64" s="141">
        <v>6</v>
      </c>
      <c r="J64" s="141"/>
    </row>
    <row r="65" spans="1:10" ht="47.25">
      <c r="A65" s="138">
        <v>56</v>
      </c>
      <c r="B65" s="139" t="s">
        <v>53</v>
      </c>
      <c r="C65" s="140" t="s">
        <v>54</v>
      </c>
      <c r="D65" s="140" t="s">
        <v>126</v>
      </c>
      <c r="E65" s="140">
        <v>11</v>
      </c>
      <c r="F65" s="140" t="s">
        <v>239</v>
      </c>
      <c r="G65" s="141">
        <v>3</v>
      </c>
      <c r="H65" s="141">
        <v>5</v>
      </c>
      <c r="I65" s="141">
        <v>3</v>
      </c>
      <c r="J65" s="141"/>
    </row>
    <row r="66" spans="1:10" ht="63">
      <c r="A66" s="138">
        <v>57</v>
      </c>
      <c r="B66" s="139" t="s">
        <v>241</v>
      </c>
      <c r="C66" s="140" t="s">
        <v>2853</v>
      </c>
      <c r="D66" s="140" t="s">
        <v>126</v>
      </c>
      <c r="E66" s="29">
        <v>18</v>
      </c>
      <c r="F66" s="140" t="s">
        <v>240</v>
      </c>
      <c r="G66" s="141">
        <v>6</v>
      </c>
      <c r="H66" s="141">
        <v>6</v>
      </c>
      <c r="I66" s="141">
        <v>6</v>
      </c>
      <c r="J66" s="141"/>
    </row>
    <row r="67" spans="1:10" ht="63">
      <c r="A67" s="138">
        <v>58</v>
      </c>
      <c r="B67" s="139" t="s">
        <v>242</v>
      </c>
      <c r="C67" s="140" t="s">
        <v>2854</v>
      </c>
      <c r="D67" s="140" t="s">
        <v>126</v>
      </c>
      <c r="E67" s="29">
        <v>18</v>
      </c>
      <c r="F67" s="140" t="s">
        <v>240</v>
      </c>
      <c r="G67" s="141">
        <v>6</v>
      </c>
      <c r="H67" s="141">
        <v>6</v>
      </c>
      <c r="I67" s="141">
        <v>6</v>
      </c>
      <c r="J67" s="141"/>
    </row>
    <row r="68" spans="1:10" ht="63">
      <c r="A68" s="138">
        <v>59</v>
      </c>
      <c r="B68" s="149" t="s">
        <v>243</v>
      </c>
      <c r="C68" s="144" t="s">
        <v>152</v>
      </c>
      <c r="D68" s="144" t="s">
        <v>126</v>
      </c>
      <c r="E68" s="29">
        <v>10</v>
      </c>
      <c r="F68" s="140" t="s">
        <v>257</v>
      </c>
      <c r="G68" s="145">
        <v>3</v>
      </c>
      <c r="H68" s="145">
        <v>4</v>
      </c>
      <c r="I68" s="145">
        <v>3</v>
      </c>
      <c r="J68" s="145"/>
    </row>
    <row r="69" spans="1:10" ht="63">
      <c r="A69" s="138">
        <v>60</v>
      </c>
      <c r="B69" s="149" t="s">
        <v>244</v>
      </c>
      <c r="C69" s="144" t="s">
        <v>153</v>
      </c>
      <c r="D69" s="144" t="s">
        <v>126</v>
      </c>
      <c r="E69" s="29">
        <v>10</v>
      </c>
      <c r="F69" s="140" t="s">
        <v>256</v>
      </c>
      <c r="G69" s="145">
        <v>3</v>
      </c>
      <c r="H69" s="145">
        <v>4</v>
      </c>
      <c r="I69" s="145">
        <v>3</v>
      </c>
      <c r="J69" s="145"/>
    </row>
    <row r="70" spans="1:10" ht="94.5">
      <c r="A70" s="138">
        <v>61</v>
      </c>
      <c r="B70" s="149" t="s">
        <v>57</v>
      </c>
      <c r="C70" s="144" t="s">
        <v>154</v>
      </c>
      <c r="D70" s="144" t="s">
        <v>126</v>
      </c>
      <c r="E70" s="29">
        <v>10</v>
      </c>
      <c r="F70" s="183" t="s">
        <v>2768</v>
      </c>
      <c r="G70" s="145">
        <v>3</v>
      </c>
      <c r="H70" s="145">
        <v>4</v>
      </c>
      <c r="I70" s="145">
        <v>3</v>
      </c>
      <c r="J70" s="145"/>
    </row>
    <row r="71" spans="1:10" ht="94.5">
      <c r="A71" s="138">
        <v>62</v>
      </c>
      <c r="B71" s="149" t="s">
        <v>57</v>
      </c>
      <c r="C71" s="144" t="s">
        <v>155</v>
      </c>
      <c r="D71" s="144" t="s">
        <v>126</v>
      </c>
      <c r="E71" s="29">
        <v>9</v>
      </c>
      <c r="F71" s="183"/>
      <c r="G71" s="145">
        <v>3</v>
      </c>
      <c r="H71" s="145">
        <v>3</v>
      </c>
      <c r="I71" s="145">
        <v>3</v>
      </c>
      <c r="J71" s="145"/>
    </row>
    <row r="72" spans="1:10" ht="141.75">
      <c r="A72" s="138">
        <v>63</v>
      </c>
      <c r="B72" s="139" t="s">
        <v>60</v>
      </c>
      <c r="C72" s="140" t="s">
        <v>2769</v>
      </c>
      <c r="D72" s="140" t="s">
        <v>126</v>
      </c>
      <c r="E72" s="140">
        <v>25</v>
      </c>
      <c r="F72" s="171" t="s">
        <v>208</v>
      </c>
      <c r="G72" s="141">
        <v>5</v>
      </c>
      <c r="H72" s="141">
        <v>10</v>
      </c>
      <c r="I72" s="141">
        <v>10</v>
      </c>
      <c r="J72" s="141"/>
    </row>
    <row r="73" spans="1:10" ht="63">
      <c r="A73" s="138">
        <v>64</v>
      </c>
      <c r="B73" s="139" t="s">
        <v>60</v>
      </c>
      <c r="C73" s="140" t="s">
        <v>2770</v>
      </c>
      <c r="D73" s="140" t="s">
        <v>126</v>
      </c>
      <c r="E73" s="140">
        <v>25</v>
      </c>
      <c r="F73" s="183"/>
      <c r="G73" s="141">
        <v>5</v>
      </c>
      <c r="H73" s="141">
        <v>10</v>
      </c>
      <c r="I73" s="141">
        <v>10</v>
      </c>
      <c r="J73" s="141"/>
    </row>
    <row r="74" spans="1:10" ht="63">
      <c r="A74" s="138">
        <v>65</v>
      </c>
      <c r="B74" s="139" t="s">
        <v>60</v>
      </c>
      <c r="C74" s="140" t="s">
        <v>2771</v>
      </c>
      <c r="D74" s="140" t="s">
        <v>126</v>
      </c>
      <c r="E74" s="140">
        <v>44</v>
      </c>
      <c r="F74" s="183"/>
      <c r="G74" s="141">
        <v>14</v>
      </c>
      <c r="H74" s="141">
        <v>16</v>
      </c>
      <c r="I74" s="141">
        <v>14</v>
      </c>
      <c r="J74" s="141"/>
    </row>
    <row r="75" spans="1:10" ht="63">
      <c r="A75" s="138">
        <v>66</v>
      </c>
      <c r="B75" s="139" t="s">
        <v>185</v>
      </c>
      <c r="C75" s="140" t="s">
        <v>2772</v>
      </c>
      <c r="D75" s="140" t="s">
        <v>126</v>
      </c>
      <c r="E75" s="140">
        <v>145</v>
      </c>
      <c r="F75" s="183" t="s">
        <v>245</v>
      </c>
      <c r="G75" s="141">
        <v>40</v>
      </c>
      <c r="H75" s="141">
        <v>65</v>
      </c>
      <c r="I75" s="141">
        <v>40</v>
      </c>
      <c r="J75" s="141"/>
    </row>
    <row r="76" spans="1:10" ht="63">
      <c r="A76" s="138">
        <v>67</v>
      </c>
      <c r="B76" s="139" t="s">
        <v>61</v>
      </c>
      <c r="C76" s="140" t="s">
        <v>2773</v>
      </c>
      <c r="D76" s="140" t="s">
        <v>126</v>
      </c>
      <c r="E76" s="140">
        <v>36</v>
      </c>
      <c r="F76" s="183" t="s">
        <v>186</v>
      </c>
      <c r="G76" s="141">
        <v>10</v>
      </c>
      <c r="H76" s="141">
        <v>10</v>
      </c>
      <c r="I76" s="141">
        <v>16</v>
      </c>
      <c r="J76" s="141"/>
    </row>
    <row r="77" spans="1:10" ht="63">
      <c r="A77" s="138">
        <v>68</v>
      </c>
      <c r="B77" s="139" t="s">
        <v>61</v>
      </c>
      <c r="C77" s="140" t="s">
        <v>2774</v>
      </c>
      <c r="D77" s="140" t="s">
        <v>126</v>
      </c>
      <c r="E77" s="140">
        <v>40</v>
      </c>
      <c r="F77" s="183"/>
      <c r="G77" s="141">
        <v>10</v>
      </c>
      <c r="H77" s="141">
        <v>10</v>
      </c>
      <c r="I77" s="141">
        <v>20</v>
      </c>
      <c r="J77" s="141"/>
    </row>
    <row r="78" spans="1:10" ht="63">
      <c r="A78" s="138">
        <v>69</v>
      </c>
      <c r="B78" s="149" t="s">
        <v>61</v>
      </c>
      <c r="C78" s="144" t="s">
        <v>156</v>
      </c>
      <c r="D78" s="150" t="s">
        <v>126</v>
      </c>
      <c r="E78" s="182">
        <v>60</v>
      </c>
      <c r="F78" s="151" t="s">
        <v>163</v>
      </c>
      <c r="G78" s="141">
        <v>15</v>
      </c>
      <c r="H78" s="141">
        <v>30</v>
      </c>
      <c r="I78" s="141">
        <v>15</v>
      </c>
      <c r="J78" s="145"/>
    </row>
    <row r="79" spans="1:10" ht="63">
      <c r="A79" s="138">
        <v>70</v>
      </c>
      <c r="B79" s="139" t="s">
        <v>64</v>
      </c>
      <c r="C79" s="140" t="s">
        <v>2775</v>
      </c>
      <c r="D79" s="140" t="s">
        <v>126</v>
      </c>
      <c r="E79" s="140">
        <v>126</v>
      </c>
      <c r="F79" s="140"/>
      <c r="G79" s="141"/>
      <c r="H79" s="141">
        <v>66</v>
      </c>
      <c r="I79" s="141">
        <v>60</v>
      </c>
      <c r="J79" s="141"/>
    </row>
    <row r="80" spans="1:10" ht="63">
      <c r="A80" s="138">
        <v>71</v>
      </c>
      <c r="B80" s="139" t="s">
        <v>64</v>
      </c>
      <c r="C80" s="140" t="s">
        <v>2776</v>
      </c>
      <c r="D80" s="140" t="s">
        <v>126</v>
      </c>
      <c r="E80" s="140">
        <v>156</v>
      </c>
      <c r="F80" s="140"/>
      <c r="G80" s="141"/>
      <c r="H80" s="141">
        <v>78</v>
      </c>
      <c r="I80" s="141">
        <v>78</v>
      </c>
      <c r="J80" s="141"/>
    </row>
    <row r="81" spans="1:10" ht="63">
      <c r="A81" s="138">
        <v>72</v>
      </c>
      <c r="B81" s="139" t="s">
        <v>64</v>
      </c>
      <c r="C81" s="140" t="s">
        <v>2777</v>
      </c>
      <c r="D81" s="140" t="s">
        <v>126</v>
      </c>
      <c r="E81" s="140">
        <v>177</v>
      </c>
      <c r="F81" s="140"/>
      <c r="G81" s="141"/>
      <c r="H81" s="141">
        <v>90</v>
      </c>
      <c r="I81" s="141">
        <v>87</v>
      </c>
      <c r="J81" s="141"/>
    </row>
    <row r="82" spans="1:10" ht="63">
      <c r="A82" s="138">
        <v>73</v>
      </c>
      <c r="B82" s="139" t="s">
        <v>64</v>
      </c>
      <c r="C82" s="140" t="s">
        <v>2778</v>
      </c>
      <c r="D82" s="140" t="s">
        <v>126</v>
      </c>
      <c r="E82" s="140">
        <v>147</v>
      </c>
      <c r="F82" s="140"/>
      <c r="G82" s="141"/>
      <c r="H82" s="141">
        <v>72</v>
      </c>
      <c r="I82" s="141">
        <v>75</v>
      </c>
      <c r="J82" s="141"/>
    </row>
    <row r="83" spans="1:10" ht="78.75">
      <c r="A83" s="138">
        <v>74</v>
      </c>
      <c r="B83" s="139" t="s">
        <v>65</v>
      </c>
      <c r="C83" s="140" t="s">
        <v>2779</v>
      </c>
      <c r="D83" s="140" t="s">
        <v>126</v>
      </c>
      <c r="E83" s="140">
        <v>132</v>
      </c>
      <c r="F83" s="140"/>
      <c r="G83" s="141"/>
      <c r="H83" s="141">
        <v>75</v>
      </c>
      <c r="I83" s="141">
        <v>57</v>
      </c>
      <c r="J83" s="141"/>
    </row>
    <row r="84" spans="1:10" ht="78.75">
      <c r="A84" s="138">
        <v>75</v>
      </c>
      <c r="B84" s="139" t="s">
        <v>65</v>
      </c>
      <c r="C84" s="140" t="s">
        <v>2780</v>
      </c>
      <c r="D84" s="140" t="s">
        <v>126</v>
      </c>
      <c r="E84" s="140">
        <v>156</v>
      </c>
      <c r="F84" s="140"/>
      <c r="G84" s="141"/>
      <c r="H84" s="141">
        <v>72</v>
      </c>
      <c r="I84" s="141">
        <v>84</v>
      </c>
      <c r="J84" s="141"/>
    </row>
    <row r="85" spans="1:10" ht="78.75">
      <c r="A85" s="138">
        <v>76</v>
      </c>
      <c r="B85" s="139" t="s">
        <v>187</v>
      </c>
      <c r="C85" s="140" t="s">
        <v>2781</v>
      </c>
      <c r="D85" s="140" t="s">
        <v>68</v>
      </c>
      <c r="E85" s="29">
        <v>250</v>
      </c>
      <c r="F85" s="29" t="s">
        <v>264</v>
      </c>
      <c r="G85" s="141">
        <v>100</v>
      </c>
      <c r="H85" s="141">
        <v>150</v>
      </c>
      <c r="I85" s="141"/>
      <c r="J85" s="141"/>
    </row>
    <row r="86" spans="1:10" ht="157.5">
      <c r="A86" s="138">
        <v>77</v>
      </c>
      <c r="B86" s="139" t="s">
        <v>188</v>
      </c>
      <c r="C86" s="140" t="s">
        <v>2782</v>
      </c>
      <c r="D86" s="140" t="s">
        <v>68</v>
      </c>
      <c r="E86" s="29">
        <v>1000</v>
      </c>
      <c r="F86" s="29" t="s">
        <v>261</v>
      </c>
      <c r="G86" s="141">
        <v>300</v>
      </c>
      <c r="H86" s="141">
        <v>400</v>
      </c>
      <c r="I86" s="141">
        <v>300</v>
      </c>
      <c r="J86" s="141"/>
    </row>
    <row r="87" spans="1:10" ht="126">
      <c r="A87" s="138">
        <v>78</v>
      </c>
      <c r="B87" s="139" t="s">
        <v>69</v>
      </c>
      <c r="C87" s="140" t="s">
        <v>2783</v>
      </c>
      <c r="D87" s="140" t="s">
        <v>68</v>
      </c>
      <c r="E87" s="29">
        <v>1500</v>
      </c>
      <c r="F87" s="29" t="s">
        <v>207</v>
      </c>
      <c r="G87" s="141">
        <v>400</v>
      </c>
      <c r="H87" s="141">
        <v>600</v>
      </c>
      <c r="I87" s="141">
        <v>500</v>
      </c>
      <c r="J87" s="141"/>
    </row>
    <row r="88" spans="1:10" ht="110.25">
      <c r="A88" s="138">
        <v>79</v>
      </c>
      <c r="B88" s="139" t="s">
        <v>189</v>
      </c>
      <c r="C88" s="140" t="s">
        <v>2784</v>
      </c>
      <c r="D88" s="140" t="s">
        <v>68</v>
      </c>
      <c r="E88" s="29">
        <v>700</v>
      </c>
      <c r="F88" s="29" t="s">
        <v>263</v>
      </c>
      <c r="G88" s="141">
        <v>100</v>
      </c>
      <c r="H88" s="141">
        <v>400</v>
      </c>
      <c r="I88" s="141">
        <v>200</v>
      </c>
      <c r="J88" s="141"/>
    </row>
    <row r="89" spans="1:10" ht="126">
      <c r="A89" s="138">
        <v>80</v>
      </c>
      <c r="B89" s="139" t="s">
        <v>70</v>
      </c>
      <c r="C89" s="140" t="s">
        <v>2785</v>
      </c>
      <c r="D89" s="140" t="s">
        <v>68</v>
      </c>
      <c r="E89" s="29">
        <v>1000</v>
      </c>
      <c r="F89" s="29" t="s">
        <v>262</v>
      </c>
      <c r="G89" s="141">
        <v>300</v>
      </c>
      <c r="H89" s="141">
        <v>400</v>
      </c>
      <c r="I89" s="141">
        <v>300</v>
      </c>
      <c r="J89" s="141"/>
    </row>
    <row r="90" spans="1:10" ht="78.75">
      <c r="A90" s="138">
        <v>81</v>
      </c>
      <c r="B90" s="139" t="s">
        <v>190</v>
      </c>
      <c r="C90" s="140" t="s">
        <v>2786</v>
      </c>
      <c r="D90" s="140" t="s">
        <v>68</v>
      </c>
      <c r="E90" s="29">
        <v>400</v>
      </c>
      <c r="F90" s="29" t="s">
        <v>254</v>
      </c>
      <c r="G90" s="141">
        <v>100</v>
      </c>
      <c r="H90" s="141">
        <v>200</v>
      </c>
      <c r="I90" s="141">
        <v>100</v>
      </c>
      <c r="J90" s="141"/>
    </row>
    <row r="91" spans="1:10" ht="141.75">
      <c r="A91" s="138">
        <v>82</v>
      </c>
      <c r="B91" s="139" t="s">
        <v>191</v>
      </c>
      <c r="C91" s="140" t="s">
        <v>2855</v>
      </c>
      <c r="D91" s="140" t="s">
        <v>68</v>
      </c>
      <c r="E91" s="29">
        <v>500</v>
      </c>
      <c r="F91" s="29" t="s">
        <v>255</v>
      </c>
      <c r="G91" s="141">
        <v>150</v>
      </c>
      <c r="H91" s="141">
        <v>200</v>
      </c>
      <c r="I91" s="141">
        <v>150</v>
      </c>
      <c r="J91" s="141"/>
    </row>
    <row r="92" spans="1:10" ht="78.75">
      <c r="A92" s="138">
        <v>83</v>
      </c>
      <c r="B92" s="139" t="s">
        <v>71</v>
      </c>
      <c r="C92" s="140" t="s">
        <v>2788</v>
      </c>
      <c r="D92" s="140" t="s">
        <v>68</v>
      </c>
      <c r="E92" s="29">
        <v>1000</v>
      </c>
      <c r="F92" s="29" t="s">
        <v>253</v>
      </c>
      <c r="G92" s="141">
        <v>300</v>
      </c>
      <c r="H92" s="141">
        <v>400</v>
      </c>
      <c r="I92" s="141">
        <v>300</v>
      </c>
      <c r="J92" s="141"/>
    </row>
    <row r="93" spans="1:10" ht="110.25">
      <c r="A93" s="138">
        <v>84</v>
      </c>
      <c r="B93" s="139" t="s">
        <v>76</v>
      </c>
      <c r="C93" s="762" t="s">
        <v>77</v>
      </c>
      <c r="D93" s="140" t="s">
        <v>68</v>
      </c>
      <c r="E93" s="140">
        <v>1000</v>
      </c>
      <c r="F93" s="101" t="s">
        <v>202</v>
      </c>
      <c r="G93" s="141">
        <v>0</v>
      </c>
      <c r="H93" s="141">
        <v>500</v>
      </c>
      <c r="I93" s="141">
        <v>500</v>
      </c>
      <c r="J93" s="141"/>
    </row>
    <row r="94" spans="1:10" ht="75">
      <c r="A94" s="138">
        <v>85</v>
      </c>
      <c r="B94" s="139" t="s">
        <v>78</v>
      </c>
      <c r="C94" s="762" t="s">
        <v>79</v>
      </c>
      <c r="D94" s="140" t="s">
        <v>68</v>
      </c>
      <c r="E94" s="140">
        <v>1200</v>
      </c>
      <c r="F94" s="750"/>
      <c r="G94" s="141">
        <v>400</v>
      </c>
      <c r="H94" s="141">
        <v>400</v>
      </c>
      <c r="I94" s="141">
        <v>400</v>
      </c>
      <c r="J94" s="141"/>
    </row>
    <row r="95" spans="1:10" ht="105">
      <c r="A95" s="138">
        <v>86</v>
      </c>
      <c r="B95" s="139" t="s">
        <v>80</v>
      </c>
      <c r="C95" s="762" t="s">
        <v>81</v>
      </c>
      <c r="D95" s="140" t="s">
        <v>68</v>
      </c>
      <c r="E95" s="140">
        <v>1250</v>
      </c>
      <c r="F95" s="183" t="s">
        <v>82</v>
      </c>
      <c r="G95" s="141">
        <v>450</v>
      </c>
      <c r="H95" s="141">
        <v>400</v>
      </c>
      <c r="I95" s="141">
        <v>400</v>
      </c>
      <c r="J95" s="141"/>
    </row>
    <row r="96" spans="1:10" ht="47.25">
      <c r="A96" s="138">
        <v>87</v>
      </c>
      <c r="B96" s="139" t="s">
        <v>83</v>
      </c>
      <c r="C96" s="140" t="s">
        <v>84</v>
      </c>
      <c r="D96" s="140" t="s">
        <v>68</v>
      </c>
      <c r="E96" s="140">
        <v>1550</v>
      </c>
      <c r="F96" s="183" t="s">
        <v>192</v>
      </c>
      <c r="G96" s="141">
        <v>450</v>
      </c>
      <c r="H96" s="141">
        <v>600</v>
      </c>
      <c r="I96" s="141">
        <v>500</v>
      </c>
      <c r="J96" s="141"/>
    </row>
    <row r="97" spans="1:10" ht="63">
      <c r="A97" s="138">
        <v>88</v>
      </c>
      <c r="B97" s="139" t="s">
        <v>85</v>
      </c>
      <c r="C97" s="140" t="s">
        <v>86</v>
      </c>
      <c r="D97" s="140" t="s">
        <v>68</v>
      </c>
      <c r="E97" s="140">
        <v>1400</v>
      </c>
      <c r="F97" s="183"/>
      <c r="G97" s="141">
        <v>400</v>
      </c>
      <c r="H97" s="141">
        <v>500</v>
      </c>
      <c r="I97" s="141">
        <v>500</v>
      </c>
      <c r="J97" s="141"/>
    </row>
    <row r="98" spans="1:10" ht="157.5">
      <c r="A98" s="138">
        <v>89</v>
      </c>
      <c r="B98" s="139" t="s">
        <v>90</v>
      </c>
      <c r="C98" s="140" t="s">
        <v>2789</v>
      </c>
      <c r="D98" s="140" t="s">
        <v>89</v>
      </c>
      <c r="E98" s="140">
        <v>5</v>
      </c>
      <c r="F98" s="170" t="s">
        <v>269</v>
      </c>
      <c r="G98" s="141">
        <v>1.5</v>
      </c>
      <c r="H98" s="141">
        <v>2</v>
      </c>
      <c r="I98" s="141">
        <v>1.5</v>
      </c>
      <c r="J98" s="141"/>
    </row>
    <row r="99" spans="1:10" ht="126">
      <c r="A99" s="138">
        <v>90</v>
      </c>
      <c r="B99" s="139" t="s">
        <v>91</v>
      </c>
      <c r="C99" s="140" t="s">
        <v>2790</v>
      </c>
      <c r="D99" s="140" t="s">
        <v>89</v>
      </c>
      <c r="E99" s="140">
        <v>2.5</v>
      </c>
      <c r="F99" s="170"/>
      <c r="G99" s="141">
        <v>0.5</v>
      </c>
      <c r="H99" s="141">
        <v>1</v>
      </c>
      <c r="I99" s="141">
        <v>1</v>
      </c>
      <c r="J99" s="141"/>
    </row>
    <row r="100" spans="1:10" ht="126">
      <c r="A100" s="138">
        <v>91</v>
      </c>
      <c r="B100" s="139" t="s">
        <v>92</v>
      </c>
      <c r="C100" s="140" t="s">
        <v>2791</v>
      </c>
      <c r="D100" s="140" t="s">
        <v>89</v>
      </c>
      <c r="E100" s="140">
        <v>3</v>
      </c>
      <c r="F100" s="170"/>
      <c r="G100" s="141">
        <v>0.5</v>
      </c>
      <c r="H100" s="141">
        <v>1.5</v>
      </c>
      <c r="I100" s="141">
        <v>1</v>
      </c>
      <c r="J100" s="141"/>
    </row>
    <row r="101" spans="1:10" ht="75">
      <c r="A101" s="138">
        <v>92</v>
      </c>
      <c r="B101" s="139" t="s">
        <v>193</v>
      </c>
      <c r="C101" s="762" t="s">
        <v>2792</v>
      </c>
      <c r="D101" s="140" t="s">
        <v>126</v>
      </c>
      <c r="E101" s="140">
        <v>600</v>
      </c>
      <c r="F101" s="152" t="s">
        <v>95</v>
      </c>
      <c r="G101" s="141">
        <v>200</v>
      </c>
      <c r="H101" s="141">
        <v>200</v>
      </c>
      <c r="I101" s="141">
        <v>200</v>
      </c>
      <c r="J101" s="141"/>
    </row>
    <row r="102" spans="1:10" ht="78.75">
      <c r="A102" s="138">
        <v>93</v>
      </c>
      <c r="B102" s="139" t="s">
        <v>174</v>
      </c>
      <c r="C102" s="140" t="s">
        <v>2793</v>
      </c>
      <c r="D102" s="140" t="s">
        <v>126</v>
      </c>
      <c r="E102" s="140">
        <v>24</v>
      </c>
      <c r="F102" s="152" t="s">
        <v>213</v>
      </c>
      <c r="G102" s="141">
        <v>6</v>
      </c>
      <c r="H102" s="141">
        <v>9</v>
      </c>
      <c r="I102" s="141">
        <v>9</v>
      </c>
      <c r="J102" s="141"/>
    </row>
    <row r="103" spans="1:10" ht="94.5">
      <c r="A103" s="138">
        <v>94</v>
      </c>
      <c r="B103" s="139" t="s">
        <v>175</v>
      </c>
      <c r="C103" s="140" t="s">
        <v>96</v>
      </c>
      <c r="D103" s="140" t="s">
        <v>126</v>
      </c>
      <c r="E103" s="140">
        <v>1700</v>
      </c>
      <c r="F103" s="152" t="s">
        <v>194</v>
      </c>
      <c r="G103" s="141">
        <v>500</v>
      </c>
      <c r="H103" s="141">
        <v>700</v>
      </c>
      <c r="I103" s="141">
        <v>500</v>
      </c>
      <c r="J103" s="141"/>
    </row>
    <row r="104" spans="1:10" ht="157.5">
      <c r="A104" s="138">
        <v>95</v>
      </c>
      <c r="B104" s="139" t="s">
        <v>97</v>
      </c>
      <c r="C104" s="140" t="s">
        <v>2794</v>
      </c>
      <c r="D104" s="140" t="s">
        <v>126</v>
      </c>
      <c r="E104" s="140">
        <v>560</v>
      </c>
      <c r="F104" s="152" t="s">
        <v>98</v>
      </c>
      <c r="G104" s="141">
        <v>160</v>
      </c>
      <c r="H104" s="141">
        <v>200</v>
      </c>
      <c r="I104" s="141">
        <v>200</v>
      </c>
      <c r="J104" s="141"/>
    </row>
    <row r="105" spans="1:10" ht="78.75">
      <c r="A105" s="138">
        <v>96</v>
      </c>
      <c r="B105" s="139" t="s">
        <v>99</v>
      </c>
      <c r="C105" s="140" t="s">
        <v>2795</v>
      </c>
      <c r="D105" s="140" t="s">
        <v>126</v>
      </c>
      <c r="E105" s="140">
        <v>400</v>
      </c>
      <c r="F105" s="152" t="s">
        <v>98</v>
      </c>
      <c r="G105" s="141">
        <v>100</v>
      </c>
      <c r="H105" s="141">
        <v>200</v>
      </c>
      <c r="I105" s="141">
        <v>100</v>
      </c>
      <c r="J105" s="141"/>
    </row>
    <row r="106" spans="1:10" ht="110.25">
      <c r="A106" s="138">
        <v>97</v>
      </c>
      <c r="B106" s="148" t="s">
        <v>100</v>
      </c>
      <c r="C106" s="29" t="s">
        <v>2796</v>
      </c>
      <c r="D106" s="140" t="s">
        <v>126</v>
      </c>
      <c r="E106" s="140">
        <v>120</v>
      </c>
      <c r="F106" s="153" t="s">
        <v>246</v>
      </c>
      <c r="G106" s="141">
        <v>0</v>
      </c>
      <c r="H106" s="141">
        <v>60</v>
      </c>
      <c r="I106" s="141">
        <v>60</v>
      </c>
      <c r="J106" s="141"/>
    </row>
    <row r="107" spans="1:10" ht="90">
      <c r="A107" s="138">
        <v>98</v>
      </c>
      <c r="B107" s="139" t="s">
        <v>197</v>
      </c>
      <c r="C107" s="762" t="s">
        <v>2797</v>
      </c>
      <c r="D107" s="140" t="s">
        <v>126</v>
      </c>
      <c r="E107" s="140">
        <v>3</v>
      </c>
      <c r="F107" s="140" t="s">
        <v>248</v>
      </c>
      <c r="G107" s="141">
        <v>1</v>
      </c>
      <c r="H107" s="141">
        <v>1</v>
      </c>
      <c r="I107" s="141">
        <v>1</v>
      </c>
      <c r="J107" s="141"/>
    </row>
    <row r="108" spans="1:10" ht="90">
      <c r="A108" s="138">
        <v>99</v>
      </c>
      <c r="B108" s="139" t="s">
        <v>197</v>
      </c>
      <c r="C108" s="762" t="s">
        <v>2856</v>
      </c>
      <c r="D108" s="140" t="s">
        <v>126</v>
      </c>
      <c r="E108" s="140">
        <v>2</v>
      </c>
      <c r="F108" s="140" t="s">
        <v>247</v>
      </c>
      <c r="G108" s="141"/>
      <c r="H108" s="141">
        <v>1</v>
      </c>
      <c r="I108" s="141">
        <v>1</v>
      </c>
      <c r="J108" s="141"/>
    </row>
    <row r="109" spans="1:10" ht="94.5">
      <c r="A109" s="138">
        <v>100</v>
      </c>
      <c r="B109" s="154" t="s">
        <v>197</v>
      </c>
      <c r="C109" s="155" t="s">
        <v>2798</v>
      </c>
      <c r="D109" s="156" t="s">
        <v>126</v>
      </c>
      <c r="E109" s="140">
        <v>10</v>
      </c>
      <c r="F109" s="29" t="s">
        <v>247</v>
      </c>
      <c r="G109" s="145"/>
      <c r="H109" s="145">
        <v>5</v>
      </c>
      <c r="I109" s="145">
        <v>5</v>
      </c>
      <c r="J109" s="145"/>
    </row>
    <row r="110" spans="1:10" ht="63">
      <c r="A110" s="138">
        <v>101</v>
      </c>
      <c r="B110" s="139" t="s">
        <v>195</v>
      </c>
      <c r="C110" s="157" t="s">
        <v>2799</v>
      </c>
      <c r="D110" s="140" t="s">
        <v>126</v>
      </c>
      <c r="E110" s="140">
        <v>2</v>
      </c>
      <c r="F110" s="140" t="s">
        <v>196</v>
      </c>
      <c r="G110" s="141">
        <v>1</v>
      </c>
      <c r="H110" s="141">
        <v>1</v>
      </c>
      <c r="I110" s="141"/>
      <c r="J110" s="141"/>
    </row>
    <row r="111" spans="1:10" ht="189">
      <c r="A111" s="138">
        <v>102</v>
      </c>
      <c r="B111" s="139" t="s">
        <v>198</v>
      </c>
      <c r="C111" s="157" t="s">
        <v>2800</v>
      </c>
      <c r="D111" s="140" t="s">
        <v>126</v>
      </c>
      <c r="E111" s="140">
        <v>5</v>
      </c>
      <c r="F111" s="140" t="s">
        <v>164</v>
      </c>
      <c r="G111" s="141">
        <v>1</v>
      </c>
      <c r="H111" s="141">
        <v>2</v>
      </c>
      <c r="I111" s="141">
        <v>2</v>
      </c>
      <c r="J111" s="141"/>
    </row>
    <row r="112" spans="1:10" ht="94.5">
      <c r="A112" s="138">
        <v>103</v>
      </c>
      <c r="B112" s="158" t="s">
        <v>199</v>
      </c>
      <c r="C112" s="140" t="s">
        <v>2801</v>
      </c>
      <c r="D112" s="140" t="s">
        <v>126</v>
      </c>
      <c r="E112" s="140">
        <v>9</v>
      </c>
      <c r="F112" s="141" t="s">
        <v>209</v>
      </c>
      <c r="G112" s="141">
        <v>3</v>
      </c>
      <c r="H112" s="141">
        <v>3</v>
      </c>
      <c r="I112" s="141">
        <v>3</v>
      </c>
      <c r="J112" s="141"/>
    </row>
    <row r="113" spans="1:10" ht="141.75">
      <c r="A113" s="751">
        <v>104</v>
      </c>
      <c r="B113" s="752" t="s">
        <v>176</v>
      </c>
      <c r="C113" s="753" t="s">
        <v>105</v>
      </c>
      <c r="D113" s="753" t="s">
        <v>126</v>
      </c>
      <c r="E113" s="754">
        <v>10</v>
      </c>
      <c r="F113" s="755" t="s">
        <v>165</v>
      </c>
      <c r="G113" s="756">
        <v>0</v>
      </c>
      <c r="H113" s="756">
        <v>5</v>
      </c>
      <c r="I113" s="756">
        <v>5</v>
      </c>
      <c r="J113" s="756"/>
    </row>
    <row r="114" spans="1:10" ht="78.75">
      <c r="A114" s="138">
        <v>105</v>
      </c>
      <c r="B114" s="139" t="s">
        <v>108</v>
      </c>
      <c r="C114" s="140" t="s">
        <v>2802</v>
      </c>
      <c r="D114" s="140" t="s">
        <v>126</v>
      </c>
      <c r="E114" s="140">
        <v>6</v>
      </c>
      <c r="F114" s="170" t="s">
        <v>210</v>
      </c>
      <c r="G114" s="141"/>
      <c r="H114" s="141"/>
      <c r="I114" s="141">
        <v>6</v>
      </c>
      <c r="J114" s="141"/>
    </row>
    <row r="115" spans="1:10" ht="78.75">
      <c r="A115" s="159">
        <v>106</v>
      </c>
      <c r="B115" s="139" t="s">
        <v>108</v>
      </c>
      <c r="C115" s="140" t="s">
        <v>2803</v>
      </c>
      <c r="D115" s="140" t="s">
        <v>126</v>
      </c>
      <c r="E115" s="140">
        <v>5</v>
      </c>
      <c r="F115" s="170"/>
      <c r="G115" s="141"/>
      <c r="H115" s="141"/>
      <c r="I115" s="141">
        <v>5</v>
      </c>
      <c r="J115" s="141"/>
    </row>
    <row r="116" spans="1:10" ht="78.75">
      <c r="A116" s="751">
        <v>107</v>
      </c>
      <c r="B116" s="752" t="s">
        <v>108</v>
      </c>
      <c r="C116" s="753" t="s">
        <v>2804</v>
      </c>
      <c r="D116" s="753" t="s">
        <v>126</v>
      </c>
      <c r="E116" s="754">
        <v>24</v>
      </c>
      <c r="F116" s="812"/>
      <c r="G116" s="756"/>
      <c r="H116" s="756"/>
      <c r="I116" s="756">
        <v>24</v>
      </c>
      <c r="J116" s="756"/>
    </row>
    <row r="117" spans="1:10" ht="78.75">
      <c r="A117" s="160">
        <v>108</v>
      </c>
      <c r="B117" s="143" t="s">
        <v>109</v>
      </c>
      <c r="C117" s="144" t="s">
        <v>2805</v>
      </c>
      <c r="D117" s="144" t="s">
        <v>126</v>
      </c>
      <c r="E117" s="140">
        <v>26</v>
      </c>
      <c r="F117" s="170" t="s">
        <v>210</v>
      </c>
      <c r="G117" s="145"/>
      <c r="H117" s="145"/>
      <c r="I117" s="145">
        <v>26</v>
      </c>
      <c r="J117" s="145"/>
    </row>
    <row r="118" spans="1:10" ht="78.75">
      <c r="A118" s="160">
        <v>109</v>
      </c>
      <c r="B118" s="146" t="s">
        <v>109</v>
      </c>
      <c r="C118" s="140" t="s">
        <v>2806</v>
      </c>
      <c r="D118" s="140" t="s">
        <v>126</v>
      </c>
      <c r="E118" s="140">
        <v>18</v>
      </c>
      <c r="F118" s="170"/>
      <c r="G118" s="141"/>
      <c r="H118" s="141"/>
      <c r="I118" s="141">
        <v>18</v>
      </c>
      <c r="J118" s="141"/>
    </row>
    <row r="119" spans="1:10" ht="78.75">
      <c r="A119" s="160">
        <v>110</v>
      </c>
      <c r="B119" s="146" t="s">
        <v>109</v>
      </c>
      <c r="C119" s="140" t="s">
        <v>2807</v>
      </c>
      <c r="D119" s="140" t="s">
        <v>126</v>
      </c>
      <c r="E119" s="140">
        <v>29</v>
      </c>
      <c r="F119" s="170"/>
      <c r="G119" s="141"/>
      <c r="H119" s="141"/>
      <c r="I119" s="141">
        <v>29</v>
      </c>
      <c r="J119" s="141"/>
    </row>
    <row r="120" spans="1:10" ht="63">
      <c r="A120" s="751">
        <v>111</v>
      </c>
      <c r="B120" s="752" t="s">
        <v>200</v>
      </c>
      <c r="C120" s="753" t="s">
        <v>2808</v>
      </c>
      <c r="D120" s="753" t="s">
        <v>126</v>
      </c>
      <c r="E120" s="754">
        <v>42</v>
      </c>
      <c r="F120" s="812"/>
      <c r="G120" s="753"/>
      <c r="H120" s="753"/>
      <c r="I120" s="753">
        <v>42</v>
      </c>
      <c r="J120" s="753"/>
    </row>
    <row r="121" spans="1:10" ht="110.25">
      <c r="A121" s="138">
        <v>112</v>
      </c>
      <c r="B121" s="139" t="s">
        <v>110</v>
      </c>
      <c r="C121" s="140" t="s">
        <v>2165</v>
      </c>
      <c r="D121" s="140" t="s">
        <v>126</v>
      </c>
      <c r="E121" s="140">
        <v>42</v>
      </c>
      <c r="F121" s="170" t="s">
        <v>210</v>
      </c>
      <c r="G121" s="141"/>
      <c r="H121" s="141"/>
      <c r="I121" s="141">
        <v>42</v>
      </c>
      <c r="J121" s="141"/>
    </row>
    <row r="122" spans="1:10" ht="31.5">
      <c r="A122" s="138">
        <v>113</v>
      </c>
      <c r="B122" s="139" t="s">
        <v>111</v>
      </c>
      <c r="C122" s="140" t="s">
        <v>2166</v>
      </c>
      <c r="D122" s="140" t="s">
        <v>126</v>
      </c>
      <c r="E122" s="140">
        <v>45</v>
      </c>
      <c r="F122" s="172"/>
      <c r="G122" s="141"/>
      <c r="H122" s="141"/>
      <c r="I122" s="141">
        <v>45</v>
      </c>
      <c r="J122" s="141"/>
    </row>
    <row r="123" spans="1:10" ht="31.5">
      <c r="A123" s="138">
        <v>114</v>
      </c>
      <c r="B123" s="139" t="s">
        <v>111</v>
      </c>
      <c r="C123" s="171" t="s">
        <v>2167</v>
      </c>
      <c r="D123" s="183" t="s">
        <v>126</v>
      </c>
      <c r="E123" s="140">
        <v>45</v>
      </c>
      <c r="F123" s="152"/>
      <c r="G123" s="141"/>
      <c r="H123" s="141"/>
      <c r="I123" s="141">
        <v>45</v>
      </c>
      <c r="J123" s="141"/>
    </row>
    <row r="124" spans="1:10" ht="141.75">
      <c r="A124" s="138">
        <v>115</v>
      </c>
      <c r="B124" s="139" t="s">
        <v>266</v>
      </c>
      <c r="C124" s="183" t="s">
        <v>112</v>
      </c>
      <c r="D124" s="183" t="s">
        <v>68</v>
      </c>
      <c r="E124" s="140">
        <v>2200</v>
      </c>
      <c r="F124" s="152" t="s">
        <v>2857</v>
      </c>
      <c r="G124" s="141">
        <v>700</v>
      </c>
      <c r="H124" s="141">
        <v>800</v>
      </c>
      <c r="I124" s="141">
        <v>700</v>
      </c>
      <c r="J124" s="141"/>
    </row>
    <row r="125" spans="1:10" ht="63">
      <c r="A125" s="138">
        <v>116</v>
      </c>
      <c r="B125" s="139" t="s">
        <v>267</v>
      </c>
      <c r="C125" s="183"/>
      <c r="D125" s="183"/>
      <c r="E125" s="140">
        <v>7800</v>
      </c>
      <c r="F125" s="141" t="s">
        <v>2858</v>
      </c>
      <c r="G125" s="141">
        <v>3000</v>
      </c>
      <c r="H125" s="141">
        <v>3300</v>
      </c>
      <c r="I125" s="141">
        <v>3000</v>
      </c>
      <c r="J125" s="141"/>
    </row>
    <row r="126" spans="1:10" ht="47.25">
      <c r="A126" s="751">
        <v>117</v>
      </c>
      <c r="B126" s="752" t="s">
        <v>2859</v>
      </c>
      <c r="C126" s="753"/>
      <c r="D126" s="753"/>
      <c r="E126" s="753">
        <v>2450</v>
      </c>
      <c r="F126" s="755" t="s">
        <v>2860</v>
      </c>
      <c r="G126" s="753">
        <v>650</v>
      </c>
      <c r="H126" s="753">
        <v>1000</v>
      </c>
      <c r="I126" s="753">
        <v>800</v>
      </c>
      <c r="J126" s="753"/>
    </row>
    <row r="127" spans="1:10" ht="47.25">
      <c r="A127" s="751">
        <v>118</v>
      </c>
      <c r="B127" s="752" t="s">
        <v>113</v>
      </c>
      <c r="C127" s="753" t="s">
        <v>114</v>
      </c>
      <c r="D127" s="753" t="s">
        <v>89</v>
      </c>
      <c r="E127" s="753">
        <v>370</v>
      </c>
      <c r="F127" s="755" t="s">
        <v>115</v>
      </c>
      <c r="G127" s="753">
        <v>0</v>
      </c>
      <c r="H127" s="753">
        <v>0</v>
      </c>
      <c r="I127" s="753">
        <v>370</v>
      </c>
      <c r="J127" s="753">
        <v>0</v>
      </c>
    </row>
    <row r="128" spans="1:10" ht="47.25">
      <c r="A128" s="138">
        <v>119</v>
      </c>
      <c r="B128" s="752" t="s">
        <v>116</v>
      </c>
      <c r="C128" s="753" t="s">
        <v>150</v>
      </c>
      <c r="D128" s="753" t="s">
        <v>126</v>
      </c>
      <c r="E128" s="753">
        <v>16</v>
      </c>
      <c r="F128" s="755" t="s">
        <v>117</v>
      </c>
      <c r="G128" s="753">
        <v>6</v>
      </c>
      <c r="H128" s="753">
        <v>6</v>
      </c>
      <c r="I128" s="753">
        <v>4</v>
      </c>
      <c r="J128" s="753"/>
    </row>
    <row r="129" spans="1:10" ht="78.75">
      <c r="A129" s="138">
        <v>120</v>
      </c>
      <c r="B129" s="752" t="s">
        <v>118</v>
      </c>
      <c r="C129" s="753" t="s">
        <v>119</v>
      </c>
      <c r="D129" s="753" t="s">
        <v>126</v>
      </c>
      <c r="E129" s="753">
        <v>109</v>
      </c>
      <c r="F129" s="755"/>
      <c r="G129" s="753">
        <v>37</v>
      </c>
      <c r="H129" s="753">
        <v>35</v>
      </c>
      <c r="I129" s="753">
        <v>37</v>
      </c>
      <c r="J129" s="753">
        <v>0</v>
      </c>
    </row>
    <row r="130" spans="1:10" ht="110.25">
      <c r="A130" s="751">
        <v>121</v>
      </c>
      <c r="B130" s="139" t="s">
        <v>203</v>
      </c>
      <c r="C130" s="140" t="s">
        <v>2809</v>
      </c>
      <c r="D130" s="140" t="s">
        <v>126</v>
      </c>
      <c r="E130" s="140">
        <v>15</v>
      </c>
      <c r="F130" s="152" t="s">
        <v>249</v>
      </c>
      <c r="G130" s="141">
        <v>5</v>
      </c>
      <c r="H130" s="141">
        <v>5</v>
      </c>
      <c r="I130" s="141">
        <v>5</v>
      </c>
      <c r="J130" s="141"/>
    </row>
    <row r="131" spans="1:10" ht="94.5">
      <c r="A131" s="751">
        <v>122</v>
      </c>
      <c r="B131" s="139" t="s">
        <v>120</v>
      </c>
      <c r="C131" s="140" t="s">
        <v>2810</v>
      </c>
      <c r="D131" s="140" t="s">
        <v>126</v>
      </c>
      <c r="E131" s="140">
        <v>42</v>
      </c>
      <c r="F131" s="152" t="s">
        <v>250</v>
      </c>
      <c r="G131" s="141">
        <v>13</v>
      </c>
      <c r="H131" s="141">
        <v>16</v>
      </c>
      <c r="I131" s="141">
        <v>13</v>
      </c>
      <c r="J131" s="141"/>
    </row>
    <row r="132" spans="1:10" ht="110.25">
      <c r="A132" s="138">
        <v>123</v>
      </c>
      <c r="B132" s="139" t="s">
        <v>121</v>
      </c>
      <c r="C132" s="161" t="s">
        <v>2811</v>
      </c>
      <c r="D132" s="182" t="s">
        <v>126</v>
      </c>
      <c r="E132" s="140">
        <v>14</v>
      </c>
      <c r="F132" s="152" t="s">
        <v>251</v>
      </c>
      <c r="G132" s="141">
        <v>4</v>
      </c>
      <c r="H132" s="141">
        <v>6</v>
      </c>
      <c r="I132" s="141">
        <v>4</v>
      </c>
      <c r="J132" s="141"/>
    </row>
    <row r="133" spans="1:10" ht="94.5">
      <c r="A133" s="138">
        <v>124</v>
      </c>
      <c r="B133" s="139" t="s">
        <v>204</v>
      </c>
      <c r="C133" s="180" t="s">
        <v>2861</v>
      </c>
      <c r="D133" s="175" t="s">
        <v>126</v>
      </c>
      <c r="E133" s="140">
        <v>12</v>
      </c>
      <c r="F133" s="152" t="s">
        <v>252</v>
      </c>
      <c r="G133" s="141">
        <v>4</v>
      </c>
      <c r="H133" s="141">
        <v>4</v>
      </c>
      <c r="I133" s="141">
        <v>4</v>
      </c>
      <c r="J133" s="141"/>
    </row>
    <row r="134" spans="1:10" ht="110.25">
      <c r="A134" s="751">
        <v>125</v>
      </c>
      <c r="B134" s="139" t="s">
        <v>204</v>
      </c>
      <c r="C134" s="162" t="s">
        <v>2813</v>
      </c>
      <c r="D134" s="182" t="s">
        <v>126</v>
      </c>
      <c r="E134" s="140">
        <v>12</v>
      </c>
      <c r="F134" s="152" t="s">
        <v>212</v>
      </c>
      <c r="G134" s="141">
        <v>4</v>
      </c>
      <c r="H134" s="141">
        <v>4</v>
      </c>
      <c r="I134" s="141">
        <v>4</v>
      </c>
      <c r="J134" s="141"/>
    </row>
    <row r="135" spans="1:10" ht="179.25" customHeight="1">
      <c r="A135" s="751">
        <v>126</v>
      </c>
      <c r="B135" s="139" t="s">
        <v>122</v>
      </c>
      <c r="C135" s="140" t="s">
        <v>2814</v>
      </c>
      <c r="D135" s="140" t="s">
        <v>126</v>
      </c>
      <c r="E135" s="140">
        <v>4</v>
      </c>
      <c r="F135" s="152" t="s">
        <v>167</v>
      </c>
      <c r="G135" s="141">
        <v>1</v>
      </c>
      <c r="H135" s="141">
        <v>2</v>
      </c>
      <c r="I135" s="141">
        <v>1</v>
      </c>
      <c r="J135" s="141"/>
    </row>
    <row r="136" spans="1:10" ht="182.25" customHeight="1">
      <c r="A136" s="138">
        <v>127</v>
      </c>
      <c r="B136" s="752" t="s">
        <v>206</v>
      </c>
      <c r="C136" s="753" t="s">
        <v>2815</v>
      </c>
      <c r="D136" s="753" t="s">
        <v>126</v>
      </c>
      <c r="E136" s="754">
        <v>10</v>
      </c>
      <c r="F136" s="755" t="s">
        <v>205</v>
      </c>
      <c r="G136" s="753">
        <v>6</v>
      </c>
      <c r="H136" s="753">
        <v>8</v>
      </c>
      <c r="I136" s="753">
        <v>6</v>
      </c>
      <c r="J136" s="753"/>
    </row>
    <row r="137" spans="1:10" ht="151.5" customHeight="1">
      <c r="A137" s="138">
        <v>128</v>
      </c>
      <c r="B137" s="139" t="s">
        <v>270</v>
      </c>
      <c r="C137" s="140" t="s">
        <v>124</v>
      </c>
      <c r="D137" s="140" t="s">
        <v>127</v>
      </c>
      <c r="E137" s="140">
        <v>20</v>
      </c>
      <c r="F137" s="152" t="s">
        <v>211</v>
      </c>
      <c r="G137" s="141"/>
      <c r="H137" s="141"/>
      <c r="I137" s="141">
        <v>20</v>
      </c>
      <c r="J137" s="141"/>
    </row>
    <row r="138" spans="1:10" ht="82.5" customHeight="1">
      <c r="A138" s="751">
        <v>129</v>
      </c>
      <c r="B138" s="139" t="s">
        <v>271</v>
      </c>
      <c r="C138" s="140" t="s">
        <v>125</v>
      </c>
      <c r="D138" s="140" t="s">
        <v>127</v>
      </c>
      <c r="E138" s="140">
        <v>30</v>
      </c>
      <c r="F138" s="152" t="s">
        <v>210</v>
      </c>
      <c r="G138" s="141"/>
      <c r="H138" s="141"/>
      <c r="I138" s="141">
        <v>30</v>
      </c>
      <c r="J138" s="141"/>
    </row>
    <row r="139" spans="1:10" ht="63">
      <c r="A139" s="751">
        <v>130</v>
      </c>
      <c r="B139" s="154" t="s">
        <v>2820</v>
      </c>
      <c r="C139" s="163" t="s">
        <v>2821</v>
      </c>
      <c r="D139" s="164" t="s">
        <v>2822</v>
      </c>
      <c r="E139" s="140">
        <v>105</v>
      </c>
      <c r="F139" s="140"/>
      <c r="G139" s="141">
        <v>25</v>
      </c>
      <c r="H139" s="141">
        <v>40</v>
      </c>
      <c r="I139" s="141">
        <v>40</v>
      </c>
      <c r="J139" s="141"/>
    </row>
    <row r="140" spans="1:10" ht="63">
      <c r="A140" s="138">
        <v>131</v>
      </c>
      <c r="B140" s="154" t="s">
        <v>2823</v>
      </c>
      <c r="C140" s="163" t="s">
        <v>2821</v>
      </c>
      <c r="D140" s="164" t="s">
        <v>2822</v>
      </c>
      <c r="E140" s="140">
        <v>15</v>
      </c>
      <c r="F140" s="140"/>
      <c r="G140" s="141">
        <v>5</v>
      </c>
      <c r="H140" s="141">
        <v>5</v>
      </c>
      <c r="I140" s="141">
        <v>5</v>
      </c>
      <c r="J140" s="141"/>
    </row>
    <row r="141" spans="1:10" ht="63">
      <c r="A141" s="138">
        <v>132</v>
      </c>
      <c r="B141" s="154" t="s">
        <v>2824</v>
      </c>
      <c r="C141" s="163" t="s">
        <v>2821</v>
      </c>
      <c r="D141" s="164" t="s">
        <v>2822</v>
      </c>
      <c r="E141" s="140">
        <v>17</v>
      </c>
      <c r="F141" s="140"/>
      <c r="G141" s="140" t="s">
        <v>1280</v>
      </c>
      <c r="H141" s="164">
        <v>17</v>
      </c>
      <c r="I141" s="164"/>
      <c r="J141" s="141"/>
    </row>
    <row r="142" spans="1:10" ht="63">
      <c r="A142" s="751">
        <v>133</v>
      </c>
      <c r="B142" s="154" t="s">
        <v>2825</v>
      </c>
      <c r="C142" s="163" t="s">
        <v>2821</v>
      </c>
      <c r="D142" s="164" t="s">
        <v>2822</v>
      </c>
      <c r="E142" s="140">
        <v>109</v>
      </c>
      <c r="F142" s="140"/>
      <c r="G142" s="140">
        <v>109</v>
      </c>
      <c r="H142" s="811"/>
      <c r="I142" s="164"/>
      <c r="J142" s="141"/>
    </row>
    <row r="143" spans="1:10" ht="15.75">
      <c r="A143" s="751">
        <v>134</v>
      </c>
      <c r="B143" s="169" t="s">
        <v>2827</v>
      </c>
      <c r="C143" s="183"/>
      <c r="D143" s="183" t="s">
        <v>2822</v>
      </c>
      <c r="E143" s="183">
        <v>24</v>
      </c>
      <c r="F143" s="170"/>
      <c r="G143" s="173"/>
      <c r="H143" s="173">
        <v>24</v>
      </c>
      <c r="I143" s="173"/>
      <c r="J143" s="173"/>
    </row>
    <row r="144" spans="1:10" s="174" customFormat="1" ht="15.75">
      <c r="A144" s="138">
        <v>135</v>
      </c>
      <c r="B144" s="169" t="s">
        <v>2828</v>
      </c>
      <c r="C144" s="183"/>
      <c r="D144" s="183" t="s">
        <v>2829</v>
      </c>
      <c r="E144" s="183">
        <v>170</v>
      </c>
      <c r="F144" s="170"/>
      <c r="G144" s="173"/>
      <c r="H144" s="173">
        <v>40</v>
      </c>
      <c r="I144" s="173"/>
      <c r="J144" s="173"/>
    </row>
    <row r="145" spans="1:10" ht="26.25">
      <c r="A145" s="1056" t="s">
        <v>2841</v>
      </c>
      <c r="B145" s="1056"/>
      <c r="C145" s="1056"/>
      <c r="D145" s="1056"/>
      <c r="E145" s="1056"/>
      <c r="F145" s="1056"/>
      <c r="G145" s="1056"/>
      <c r="H145" s="1056"/>
      <c r="I145" s="1056"/>
      <c r="J145" s="1056"/>
    </row>
    <row r="146" spans="1:10" ht="15.75" customHeight="1">
      <c r="A146" s="1046" t="s">
        <v>1903</v>
      </c>
      <c r="B146" s="1047"/>
      <c r="C146" s="1047"/>
      <c r="D146" s="1047"/>
      <c r="E146" s="1047"/>
      <c r="F146" s="1047"/>
      <c r="G146" s="1047"/>
      <c r="H146" s="1047"/>
      <c r="I146" s="1047"/>
      <c r="J146" s="1047"/>
    </row>
    <row r="147" spans="1:10" ht="15.75">
      <c r="A147" s="53">
        <v>1</v>
      </c>
      <c r="B147" s="764" t="s">
        <v>560</v>
      </c>
      <c r="C147" s="53" t="s">
        <v>561</v>
      </c>
      <c r="D147" s="55">
        <f>SUM(G147:J147)</f>
        <v>90</v>
      </c>
      <c r="E147" s="53" t="s">
        <v>286</v>
      </c>
      <c r="F147" s="53"/>
      <c r="G147" s="55">
        <v>18</v>
      </c>
      <c r="H147" s="28">
        <v>20</v>
      </c>
      <c r="I147" s="28">
        <v>24</v>
      </c>
      <c r="J147" s="132">
        <v>28</v>
      </c>
    </row>
    <row r="148" spans="1:10" ht="15.75">
      <c r="A148" s="53">
        <v>3</v>
      </c>
      <c r="B148" s="764" t="s">
        <v>560</v>
      </c>
      <c r="C148" s="53" t="s">
        <v>1885</v>
      </c>
      <c r="D148" s="55">
        <f t="shared" ref="D148:D195" si="0">SUM(G148:J148)</f>
        <v>6</v>
      </c>
      <c r="E148" s="53" t="s">
        <v>286</v>
      </c>
      <c r="F148" s="53"/>
      <c r="G148" s="175"/>
      <c r="H148" s="29"/>
      <c r="I148" s="29">
        <v>0</v>
      </c>
      <c r="J148" s="134">
        <v>6</v>
      </c>
    </row>
    <row r="149" spans="1:10" ht="15.75">
      <c r="A149" s="53">
        <v>4</v>
      </c>
      <c r="B149" s="764" t="s">
        <v>560</v>
      </c>
      <c r="C149" s="53" t="s">
        <v>562</v>
      </c>
      <c r="D149" s="55">
        <f t="shared" si="0"/>
        <v>36</v>
      </c>
      <c r="E149" s="53" t="s">
        <v>286</v>
      </c>
      <c r="F149" s="53"/>
      <c r="G149" s="175"/>
      <c r="H149" s="29">
        <v>2</v>
      </c>
      <c r="I149" s="29">
        <v>30</v>
      </c>
      <c r="J149" s="134">
        <v>4</v>
      </c>
    </row>
    <row r="150" spans="1:10" ht="15.75">
      <c r="A150" s="53">
        <v>5</v>
      </c>
      <c r="B150" s="764" t="s">
        <v>560</v>
      </c>
      <c r="C150" s="53" t="s">
        <v>594</v>
      </c>
      <c r="D150" s="55">
        <f t="shared" si="0"/>
        <v>4</v>
      </c>
      <c r="E150" s="53" t="s">
        <v>286</v>
      </c>
      <c r="F150" s="53"/>
      <c r="G150" s="54">
        <v>2</v>
      </c>
      <c r="H150" s="56"/>
      <c r="I150" s="56">
        <v>2</v>
      </c>
      <c r="J150" s="133"/>
    </row>
    <row r="151" spans="1:10" ht="15.75">
      <c r="A151" s="53">
        <v>6</v>
      </c>
      <c r="B151" s="764" t="s">
        <v>560</v>
      </c>
      <c r="C151" s="53" t="s">
        <v>563</v>
      </c>
      <c r="D151" s="55">
        <f t="shared" si="0"/>
        <v>2</v>
      </c>
      <c r="E151" s="53" t="s">
        <v>286</v>
      </c>
      <c r="F151" s="53"/>
      <c r="G151" s="54">
        <v>2</v>
      </c>
      <c r="H151" s="56"/>
      <c r="I151" s="56"/>
      <c r="J151" s="133"/>
    </row>
    <row r="152" spans="1:10" ht="15.75">
      <c r="A152" s="53">
        <v>7</v>
      </c>
      <c r="B152" s="764" t="s">
        <v>560</v>
      </c>
      <c r="C152" s="53" t="s">
        <v>564</v>
      </c>
      <c r="D152" s="55">
        <f t="shared" si="0"/>
        <v>10</v>
      </c>
      <c r="E152" s="53" t="s">
        <v>286</v>
      </c>
      <c r="F152" s="53"/>
      <c r="G152" s="54">
        <v>10</v>
      </c>
      <c r="H152" s="56"/>
      <c r="I152" s="56"/>
      <c r="J152" s="133"/>
    </row>
    <row r="153" spans="1:10" ht="15.75">
      <c r="A153" s="53">
        <v>8</v>
      </c>
      <c r="B153" s="764" t="s">
        <v>560</v>
      </c>
      <c r="C153" s="53" t="s">
        <v>565</v>
      </c>
      <c r="D153" s="55">
        <f t="shared" si="0"/>
        <v>92</v>
      </c>
      <c r="E153" s="53" t="s">
        <v>286</v>
      </c>
      <c r="F153" s="53"/>
      <c r="G153" s="54">
        <v>20</v>
      </c>
      <c r="H153" s="56">
        <v>24</v>
      </c>
      <c r="I153" s="56">
        <v>20</v>
      </c>
      <c r="J153" s="133">
        <v>28</v>
      </c>
    </row>
    <row r="154" spans="1:10" ht="15.75">
      <c r="A154" s="53">
        <v>9</v>
      </c>
      <c r="B154" s="764" t="s">
        <v>560</v>
      </c>
      <c r="C154" s="53" t="s">
        <v>566</v>
      </c>
      <c r="D154" s="55">
        <f t="shared" si="0"/>
        <v>28</v>
      </c>
      <c r="E154" s="53" t="s">
        <v>286</v>
      </c>
      <c r="F154" s="53"/>
      <c r="G154" s="54">
        <v>8</v>
      </c>
      <c r="H154" s="56">
        <v>4</v>
      </c>
      <c r="I154" s="56">
        <v>8</v>
      </c>
      <c r="J154" s="133">
        <v>8</v>
      </c>
    </row>
    <row r="155" spans="1:10" ht="15.75">
      <c r="A155" s="53">
        <v>10</v>
      </c>
      <c r="B155" s="764" t="s">
        <v>560</v>
      </c>
      <c r="C155" s="53" t="s">
        <v>567</v>
      </c>
      <c r="D155" s="55">
        <f t="shared" si="0"/>
        <v>28</v>
      </c>
      <c r="E155" s="53" t="s">
        <v>286</v>
      </c>
      <c r="F155" s="53"/>
      <c r="G155" s="54">
        <v>0</v>
      </c>
      <c r="H155" s="56">
        <v>8</v>
      </c>
      <c r="I155" s="56">
        <v>12</v>
      </c>
      <c r="J155" s="133">
        <v>8</v>
      </c>
    </row>
    <row r="156" spans="1:10" ht="15.75">
      <c r="A156" s="53">
        <v>11</v>
      </c>
      <c r="B156" s="764" t="s">
        <v>560</v>
      </c>
      <c r="C156" s="53" t="s">
        <v>568</v>
      </c>
      <c r="D156" s="55">
        <f t="shared" si="0"/>
        <v>4</v>
      </c>
      <c r="E156" s="53" t="s">
        <v>286</v>
      </c>
      <c r="F156" s="53"/>
      <c r="G156" s="54"/>
      <c r="H156" s="56"/>
      <c r="I156" s="56"/>
      <c r="J156" s="133">
        <v>4</v>
      </c>
    </row>
    <row r="157" spans="1:10" ht="15.75">
      <c r="A157" s="53">
        <v>12</v>
      </c>
      <c r="B157" s="764" t="s">
        <v>560</v>
      </c>
      <c r="C157" s="53" t="s">
        <v>569</v>
      </c>
      <c r="D157" s="55">
        <f t="shared" si="0"/>
        <v>124</v>
      </c>
      <c r="E157" s="53" t="s">
        <v>286</v>
      </c>
      <c r="F157" s="53"/>
      <c r="G157" s="54">
        <v>44</v>
      </c>
      <c r="H157" s="56">
        <v>20</v>
      </c>
      <c r="I157" s="56">
        <v>32</v>
      </c>
      <c r="J157" s="133">
        <v>28</v>
      </c>
    </row>
    <row r="158" spans="1:10" ht="15.75">
      <c r="A158" s="53">
        <v>13</v>
      </c>
      <c r="B158" s="764" t="s">
        <v>560</v>
      </c>
      <c r="C158" s="53" t="s">
        <v>570</v>
      </c>
      <c r="D158" s="55">
        <f t="shared" si="0"/>
        <v>4</v>
      </c>
      <c r="E158" s="53" t="s">
        <v>286</v>
      </c>
      <c r="F158" s="53"/>
      <c r="G158" s="54">
        <v>4</v>
      </c>
      <c r="H158" s="56"/>
      <c r="I158" s="56"/>
      <c r="J158" s="133"/>
    </row>
    <row r="159" spans="1:10" ht="15.75">
      <c r="A159" s="53">
        <v>14</v>
      </c>
      <c r="B159" s="764" t="s">
        <v>560</v>
      </c>
      <c r="C159" s="53" t="s">
        <v>571</v>
      </c>
      <c r="D159" s="55">
        <f t="shared" si="0"/>
        <v>4</v>
      </c>
      <c r="E159" s="53" t="s">
        <v>286</v>
      </c>
      <c r="F159" s="53"/>
      <c r="G159" s="54"/>
      <c r="H159" s="56">
        <v>4</v>
      </c>
      <c r="I159" s="56"/>
      <c r="J159" s="133"/>
    </row>
    <row r="160" spans="1:10" ht="15.75">
      <c r="A160" s="53">
        <v>15</v>
      </c>
      <c r="B160" s="764" t="s">
        <v>560</v>
      </c>
      <c r="C160" s="53" t="s">
        <v>572</v>
      </c>
      <c r="D160" s="55">
        <f t="shared" si="0"/>
        <v>4</v>
      </c>
      <c r="E160" s="53" t="s">
        <v>286</v>
      </c>
      <c r="F160" s="53"/>
      <c r="G160" s="54"/>
      <c r="H160" s="56">
        <v>4</v>
      </c>
      <c r="I160" s="56"/>
      <c r="J160" s="133"/>
    </row>
    <row r="161" spans="1:10" ht="15.75">
      <c r="A161" s="53">
        <v>16</v>
      </c>
      <c r="B161" s="764" t="s">
        <v>560</v>
      </c>
      <c r="C161" s="53" t="s">
        <v>573</v>
      </c>
      <c r="D161" s="55">
        <f t="shared" si="0"/>
        <v>40</v>
      </c>
      <c r="E161" s="53" t="s">
        <v>286</v>
      </c>
      <c r="F161" s="53"/>
      <c r="G161" s="54">
        <v>4</v>
      </c>
      <c r="H161" s="56">
        <v>6</v>
      </c>
      <c r="I161" s="56">
        <v>12</v>
      </c>
      <c r="J161" s="133">
        <v>18</v>
      </c>
    </row>
    <row r="162" spans="1:10" ht="15.75">
      <c r="A162" s="53">
        <v>17</v>
      </c>
      <c r="B162" s="764" t="s">
        <v>560</v>
      </c>
      <c r="C162" s="53" t="s">
        <v>574</v>
      </c>
      <c r="D162" s="55">
        <f t="shared" si="0"/>
        <v>8</v>
      </c>
      <c r="E162" s="53" t="s">
        <v>286</v>
      </c>
      <c r="F162" s="53"/>
      <c r="G162" s="54">
        <v>4</v>
      </c>
      <c r="H162" s="56"/>
      <c r="I162" s="56"/>
      <c r="J162" s="133">
        <v>4</v>
      </c>
    </row>
    <row r="163" spans="1:10" ht="15.75">
      <c r="A163" s="53">
        <v>18</v>
      </c>
      <c r="B163" s="764" t="s">
        <v>560</v>
      </c>
      <c r="C163" s="53" t="s">
        <v>575</v>
      </c>
      <c r="D163" s="55">
        <f t="shared" si="0"/>
        <v>204</v>
      </c>
      <c r="E163" s="53" t="s">
        <v>286</v>
      </c>
      <c r="F163" s="53"/>
      <c r="G163" s="54">
        <v>48</v>
      </c>
      <c r="H163" s="56">
        <v>100</v>
      </c>
      <c r="I163" s="56">
        <v>20</v>
      </c>
      <c r="J163" s="133">
        <v>36</v>
      </c>
    </row>
    <row r="164" spans="1:10" ht="15.75">
      <c r="A164" s="53">
        <v>19</v>
      </c>
      <c r="B164" s="764" t="s">
        <v>560</v>
      </c>
      <c r="C164" s="53" t="s">
        <v>576</v>
      </c>
      <c r="D164" s="55">
        <f t="shared" si="0"/>
        <v>4</v>
      </c>
      <c r="E164" s="53" t="s">
        <v>286</v>
      </c>
      <c r="F164" s="53"/>
      <c r="G164" s="54"/>
      <c r="H164" s="56">
        <v>4</v>
      </c>
      <c r="I164" s="56"/>
      <c r="J164" s="133"/>
    </row>
    <row r="165" spans="1:10" ht="15.75">
      <c r="A165" s="53">
        <v>20</v>
      </c>
      <c r="B165" s="764" t="s">
        <v>560</v>
      </c>
      <c r="C165" s="53" t="s">
        <v>577</v>
      </c>
      <c r="D165" s="55">
        <f t="shared" si="0"/>
        <v>130</v>
      </c>
      <c r="E165" s="53" t="s">
        <v>286</v>
      </c>
      <c r="F165" s="53"/>
      <c r="G165" s="54">
        <v>4</v>
      </c>
      <c r="H165" s="56">
        <v>42</v>
      </c>
      <c r="I165" s="56">
        <v>50</v>
      </c>
      <c r="J165" s="133">
        <v>34</v>
      </c>
    </row>
    <row r="166" spans="1:10" ht="15.75">
      <c r="A166" s="53">
        <v>21</v>
      </c>
      <c r="B166" s="764" t="s">
        <v>560</v>
      </c>
      <c r="C166" s="53" t="s">
        <v>578</v>
      </c>
      <c r="D166" s="55">
        <f t="shared" si="0"/>
        <v>4</v>
      </c>
      <c r="E166" s="53" t="s">
        <v>286</v>
      </c>
      <c r="F166" s="53"/>
      <c r="G166" s="54">
        <v>4</v>
      </c>
      <c r="H166" s="56"/>
      <c r="I166" s="56"/>
      <c r="J166" s="133"/>
    </row>
    <row r="167" spans="1:10" ht="15.75">
      <c r="A167" s="53">
        <v>22</v>
      </c>
      <c r="B167" s="764" t="s">
        <v>560</v>
      </c>
      <c r="C167" s="53" t="s">
        <v>579</v>
      </c>
      <c r="D167" s="55">
        <f t="shared" si="0"/>
        <v>4</v>
      </c>
      <c r="E167" s="53" t="s">
        <v>286</v>
      </c>
      <c r="F167" s="53"/>
      <c r="G167" s="54">
        <v>4</v>
      </c>
      <c r="H167" s="56"/>
      <c r="I167" s="56"/>
      <c r="J167" s="133"/>
    </row>
    <row r="168" spans="1:10" ht="15.75">
      <c r="A168" s="53">
        <v>23</v>
      </c>
      <c r="B168" s="764" t="s">
        <v>560</v>
      </c>
      <c r="C168" s="53" t="s">
        <v>580</v>
      </c>
      <c r="D168" s="55">
        <f t="shared" si="0"/>
        <v>8</v>
      </c>
      <c r="E168" s="53" t="s">
        <v>286</v>
      </c>
      <c r="F168" s="53"/>
      <c r="G168" s="54">
        <v>4</v>
      </c>
      <c r="H168" s="56"/>
      <c r="I168" s="56">
        <v>4</v>
      </c>
      <c r="J168" s="133"/>
    </row>
    <row r="169" spans="1:10" ht="15.75">
      <c r="A169" s="53">
        <v>24</v>
      </c>
      <c r="B169" s="764" t="s">
        <v>560</v>
      </c>
      <c r="C169" s="53" t="s">
        <v>581</v>
      </c>
      <c r="D169" s="55">
        <f t="shared" si="0"/>
        <v>12</v>
      </c>
      <c r="E169" s="53" t="s">
        <v>286</v>
      </c>
      <c r="F169" s="53"/>
      <c r="G169" s="54"/>
      <c r="H169" s="56">
        <v>8</v>
      </c>
      <c r="I169" s="56"/>
      <c r="J169" s="133">
        <v>4</v>
      </c>
    </row>
    <row r="170" spans="1:10" ht="15.75">
      <c r="A170" s="53">
        <v>25</v>
      </c>
      <c r="B170" s="764" t="s">
        <v>560</v>
      </c>
      <c r="C170" s="53" t="s">
        <v>582</v>
      </c>
      <c r="D170" s="55">
        <f t="shared" si="0"/>
        <v>36</v>
      </c>
      <c r="E170" s="53" t="s">
        <v>286</v>
      </c>
      <c r="F170" s="53"/>
      <c r="G170" s="54">
        <v>8</v>
      </c>
      <c r="H170" s="56"/>
      <c r="I170" s="56">
        <v>16</v>
      </c>
      <c r="J170" s="133">
        <v>12</v>
      </c>
    </row>
    <row r="171" spans="1:10" ht="15.75">
      <c r="A171" s="53">
        <v>26</v>
      </c>
      <c r="B171" s="764" t="s">
        <v>560</v>
      </c>
      <c r="C171" s="53" t="s">
        <v>583</v>
      </c>
      <c r="D171" s="55">
        <f t="shared" si="0"/>
        <v>4</v>
      </c>
      <c r="E171" s="53" t="s">
        <v>286</v>
      </c>
      <c r="F171" s="53"/>
      <c r="G171" s="54">
        <v>4</v>
      </c>
      <c r="H171" s="56"/>
      <c r="I171" s="56"/>
      <c r="J171" s="133"/>
    </row>
    <row r="172" spans="1:10" ht="15.75">
      <c r="A172" s="53">
        <v>27</v>
      </c>
      <c r="B172" s="764" t="s">
        <v>560</v>
      </c>
      <c r="C172" s="53" t="s">
        <v>4440</v>
      </c>
      <c r="D172" s="55">
        <f t="shared" si="0"/>
        <v>4</v>
      </c>
      <c r="E172" s="53" t="s">
        <v>286</v>
      </c>
      <c r="F172" s="53"/>
      <c r="G172" s="54"/>
      <c r="H172" s="56"/>
      <c r="I172" s="56"/>
      <c r="J172" s="133">
        <v>4</v>
      </c>
    </row>
    <row r="173" spans="1:10" ht="15.75">
      <c r="A173" s="53">
        <v>28</v>
      </c>
      <c r="B173" s="764" t="s">
        <v>560</v>
      </c>
      <c r="C173" s="53" t="s">
        <v>584</v>
      </c>
      <c r="D173" s="55">
        <f t="shared" si="0"/>
        <v>56</v>
      </c>
      <c r="E173" s="53" t="s">
        <v>286</v>
      </c>
      <c r="F173" s="53"/>
      <c r="G173" s="54">
        <v>0</v>
      </c>
      <c r="H173" s="56">
        <v>16</v>
      </c>
      <c r="I173" s="56">
        <v>18</v>
      </c>
      <c r="J173" s="133">
        <v>22</v>
      </c>
    </row>
    <row r="174" spans="1:10" ht="15.75">
      <c r="A174" s="53">
        <v>29</v>
      </c>
      <c r="B174" s="764" t="s">
        <v>560</v>
      </c>
      <c r="C174" s="53" t="s">
        <v>585</v>
      </c>
      <c r="D174" s="55">
        <f t="shared" si="0"/>
        <v>12</v>
      </c>
      <c r="E174" s="53" t="s">
        <v>286</v>
      </c>
      <c r="F174" s="53"/>
      <c r="G174" s="54">
        <v>0</v>
      </c>
      <c r="H174" s="56">
        <v>4</v>
      </c>
      <c r="I174" s="56">
        <v>8</v>
      </c>
      <c r="J174" s="133"/>
    </row>
    <row r="175" spans="1:10" ht="15.75">
      <c r="A175" s="53">
        <v>30</v>
      </c>
      <c r="B175" s="764" t="s">
        <v>560</v>
      </c>
      <c r="C175" s="53" t="s">
        <v>586</v>
      </c>
      <c r="D175" s="55">
        <f t="shared" si="0"/>
        <v>108</v>
      </c>
      <c r="E175" s="53" t="s">
        <v>286</v>
      </c>
      <c r="F175" s="53"/>
      <c r="G175" s="54">
        <v>0</v>
      </c>
      <c r="H175" s="56">
        <v>40</v>
      </c>
      <c r="I175" s="56">
        <v>68</v>
      </c>
      <c r="J175" s="133"/>
    </row>
    <row r="176" spans="1:10" ht="15.75">
      <c r="A176" s="53">
        <v>31</v>
      </c>
      <c r="B176" s="764" t="s">
        <v>560</v>
      </c>
      <c r="C176" s="53" t="s">
        <v>587</v>
      </c>
      <c r="D176" s="55">
        <f t="shared" si="0"/>
        <v>88</v>
      </c>
      <c r="E176" s="53" t="s">
        <v>286</v>
      </c>
      <c r="F176" s="53"/>
      <c r="G176" s="54">
        <v>12</v>
      </c>
      <c r="H176" s="56">
        <v>34</v>
      </c>
      <c r="I176" s="56">
        <v>12</v>
      </c>
      <c r="J176" s="133">
        <v>30</v>
      </c>
    </row>
    <row r="177" spans="1:10" ht="15.75">
      <c r="A177" s="53">
        <v>32</v>
      </c>
      <c r="B177" s="764" t="s">
        <v>560</v>
      </c>
      <c r="C177" s="53" t="s">
        <v>588</v>
      </c>
      <c r="D177" s="55">
        <f t="shared" si="0"/>
        <v>12</v>
      </c>
      <c r="E177" s="53" t="s">
        <v>286</v>
      </c>
      <c r="F177" s="53"/>
      <c r="G177" s="54"/>
      <c r="H177" s="56">
        <v>6</v>
      </c>
      <c r="I177" s="56">
        <v>6</v>
      </c>
      <c r="J177" s="133"/>
    </row>
    <row r="178" spans="1:10" ht="15.75">
      <c r="A178" s="53">
        <v>33</v>
      </c>
      <c r="B178" s="764" t="s">
        <v>560</v>
      </c>
      <c r="C178" s="53" t="s">
        <v>589</v>
      </c>
      <c r="D178" s="55">
        <f t="shared" si="0"/>
        <v>364</v>
      </c>
      <c r="E178" s="53" t="s">
        <v>286</v>
      </c>
      <c r="F178" s="53"/>
      <c r="G178" s="54">
        <v>0</v>
      </c>
      <c r="H178" s="56">
        <v>98</v>
      </c>
      <c r="I178" s="56">
        <v>136</v>
      </c>
      <c r="J178" s="133">
        <v>130</v>
      </c>
    </row>
    <row r="179" spans="1:10" ht="15.75">
      <c r="A179" s="53">
        <v>34</v>
      </c>
      <c r="B179" s="764" t="s">
        <v>560</v>
      </c>
      <c r="C179" s="53" t="s">
        <v>4441</v>
      </c>
      <c r="D179" s="55">
        <f t="shared" si="0"/>
        <v>6</v>
      </c>
      <c r="E179" s="53" t="s">
        <v>286</v>
      </c>
      <c r="F179" s="53"/>
      <c r="G179" s="54">
        <v>2</v>
      </c>
      <c r="H179" s="56">
        <v>4</v>
      </c>
      <c r="I179" s="56"/>
      <c r="J179" s="133"/>
    </row>
    <row r="180" spans="1:10" ht="15.75">
      <c r="A180" s="53">
        <v>35</v>
      </c>
      <c r="B180" s="764" t="s">
        <v>560</v>
      </c>
      <c r="C180" s="53" t="s">
        <v>591</v>
      </c>
      <c r="D180" s="55">
        <f t="shared" si="0"/>
        <v>4</v>
      </c>
      <c r="E180" s="53" t="s">
        <v>286</v>
      </c>
      <c r="F180" s="53"/>
      <c r="G180" s="54">
        <v>2</v>
      </c>
      <c r="H180" s="56"/>
      <c r="I180" s="56">
        <v>2</v>
      </c>
      <c r="J180" s="133"/>
    </row>
    <row r="181" spans="1:10" ht="15.75">
      <c r="A181" s="53">
        <v>36</v>
      </c>
      <c r="B181" s="764" t="s">
        <v>560</v>
      </c>
      <c r="C181" s="53" t="s">
        <v>592</v>
      </c>
      <c r="D181" s="55">
        <f t="shared" si="0"/>
        <v>10</v>
      </c>
      <c r="E181" s="53" t="s">
        <v>286</v>
      </c>
      <c r="F181" s="53"/>
      <c r="G181" s="54">
        <v>6</v>
      </c>
      <c r="H181" s="56"/>
      <c r="I181" s="56">
        <v>4</v>
      </c>
      <c r="J181" s="133"/>
    </row>
    <row r="182" spans="1:10" ht="15.75">
      <c r="A182" s="53">
        <v>37</v>
      </c>
      <c r="B182" s="764" t="s">
        <v>560</v>
      </c>
      <c r="C182" s="53" t="s">
        <v>4442</v>
      </c>
      <c r="D182" s="55">
        <f t="shared" si="0"/>
        <v>14</v>
      </c>
      <c r="E182" s="53" t="s">
        <v>286</v>
      </c>
      <c r="F182" s="53"/>
      <c r="G182" s="54">
        <v>0</v>
      </c>
      <c r="H182" s="56">
        <v>4</v>
      </c>
      <c r="I182" s="56">
        <v>10</v>
      </c>
      <c r="J182" s="133"/>
    </row>
    <row r="183" spans="1:10" ht="15.75">
      <c r="A183" s="1069" t="s">
        <v>1898</v>
      </c>
      <c r="B183" s="1069"/>
      <c r="C183" s="1069"/>
      <c r="D183" s="1069"/>
      <c r="E183" s="1069"/>
      <c r="F183" s="1069"/>
      <c r="G183" s="1069"/>
      <c r="H183" s="1069"/>
      <c r="I183" s="1069"/>
      <c r="J183" s="1069"/>
    </row>
    <row r="184" spans="1:10" ht="15.75">
      <c r="A184" s="53">
        <v>38</v>
      </c>
      <c r="B184" s="764" t="s">
        <v>596</v>
      </c>
      <c r="C184" s="53" t="s">
        <v>4443</v>
      </c>
      <c r="D184" s="55">
        <f t="shared" si="0"/>
        <v>4</v>
      </c>
      <c r="E184" s="53" t="s">
        <v>286</v>
      </c>
      <c r="F184" s="53"/>
      <c r="G184" s="78">
        <v>4</v>
      </c>
      <c r="H184" s="28"/>
      <c r="I184" s="28"/>
      <c r="J184" s="132"/>
    </row>
    <row r="185" spans="1:10" ht="15.75">
      <c r="A185" s="53">
        <v>39</v>
      </c>
      <c r="B185" s="764" t="s">
        <v>596</v>
      </c>
      <c r="C185" s="53" t="s">
        <v>4444</v>
      </c>
      <c r="D185" s="55">
        <f t="shared" si="0"/>
        <v>1</v>
      </c>
      <c r="E185" s="53" t="s">
        <v>286</v>
      </c>
      <c r="F185" s="53"/>
      <c r="G185" s="54">
        <v>1</v>
      </c>
      <c r="H185" s="56"/>
      <c r="I185" s="56"/>
      <c r="J185" s="133"/>
    </row>
    <row r="186" spans="1:10" ht="15.75">
      <c r="A186" s="53">
        <v>40</v>
      </c>
      <c r="B186" s="764" t="s">
        <v>596</v>
      </c>
      <c r="C186" s="53" t="s">
        <v>4445</v>
      </c>
      <c r="D186" s="55">
        <f t="shared" si="0"/>
        <v>3</v>
      </c>
      <c r="E186" s="53" t="s">
        <v>286</v>
      </c>
      <c r="F186" s="53"/>
      <c r="G186" s="54">
        <v>0</v>
      </c>
      <c r="H186" s="56">
        <v>0</v>
      </c>
      <c r="I186" s="56">
        <v>0</v>
      </c>
      <c r="J186" s="133">
        <v>3</v>
      </c>
    </row>
    <row r="187" spans="1:10" ht="15.75">
      <c r="A187" s="53">
        <v>41</v>
      </c>
      <c r="B187" s="764" t="s">
        <v>596</v>
      </c>
      <c r="C187" s="53" t="s">
        <v>4446</v>
      </c>
      <c r="D187" s="55">
        <f t="shared" si="0"/>
        <v>8</v>
      </c>
      <c r="E187" s="53" t="s">
        <v>286</v>
      </c>
      <c r="F187" s="53"/>
      <c r="G187" s="54">
        <v>0</v>
      </c>
      <c r="H187" s="56">
        <v>0</v>
      </c>
      <c r="I187" s="56">
        <v>0</v>
      </c>
      <c r="J187" s="133">
        <v>8</v>
      </c>
    </row>
    <row r="188" spans="1:10" ht="15.75">
      <c r="A188" s="53">
        <v>42</v>
      </c>
      <c r="B188" s="764" t="s">
        <v>596</v>
      </c>
      <c r="C188" s="53" t="s">
        <v>4447</v>
      </c>
      <c r="D188" s="55">
        <f t="shared" si="0"/>
        <v>245</v>
      </c>
      <c r="E188" s="53" t="s">
        <v>286</v>
      </c>
      <c r="F188" s="53"/>
      <c r="G188" s="54">
        <v>50</v>
      </c>
      <c r="H188" s="56">
        <v>60</v>
      </c>
      <c r="I188" s="56">
        <v>65</v>
      </c>
      <c r="J188" s="133">
        <v>70</v>
      </c>
    </row>
    <row r="189" spans="1:10" ht="15.75">
      <c r="A189" s="53">
        <v>43</v>
      </c>
      <c r="B189" s="764" t="s">
        <v>596</v>
      </c>
      <c r="C189" s="53" t="s">
        <v>4448</v>
      </c>
      <c r="D189" s="55">
        <f t="shared" si="0"/>
        <v>22</v>
      </c>
      <c r="E189" s="53" t="s">
        <v>286</v>
      </c>
      <c r="F189" s="53"/>
      <c r="G189" s="54">
        <v>12</v>
      </c>
      <c r="H189" s="56">
        <v>4</v>
      </c>
      <c r="I189" s="56">
        <v>4</v>
      </c>
      <c r="J189" s="133">
        <v>2</v>
      </c>
    </row>
    <row r="190" spans="1:10" ht="15.75">
      <c r="A190" s="53">
        <v>44</v>
      </c>
      <c r="B190" s="764" t="s">
        <v>596</v>
      </c>
      <c r="C190" s="53" t="s">
        <v>4449</v>
      </c>
      <c r="D190" s="55">
        <f t="shared" si="0"/>
        <v>1</v>
      </c>
      <c r="E190" s="53" t="s">
        <v>286</v>
      </c>
      <c r="F190" s="53"/>
      <c r="G190" s="54"/>
      <c r="H190" s="56"/>
      <c r="I190" s="56">
        <v>1</v>
      </c>
      <c r="J190" s="133"/>
    </row>
    <row r="191" spans="1:10" ht="15.75">
      <c r="A191" s="53">
        <v>45</v>
      </c>
      <c r="B191" s="764" t="s">
        <v>596</v>
      </c>
      <c r="C191" s="53" t="s">
        <v>4450</v>
      </c>
      <c r="D191" s="55">
        <f t="shared" si="0"/>
        <v>18</v>
      </c>
      <c r="E191" s="53" t="s">
        <v>286</v>
      </c>
      <c r="F191" s="53"/>
      <c r="G191" s="54">
        <v>1</v>
      </c>
      <c r="H191" s="56">
        <v>4</v>
      </c>
      <c r="I191" s="56">
        <v>7</v>
      </c>
      <c r="J191" s="133">
        <v>6</v>
      </c>
    </row>
    <row r="192" spans="1:10" ht="15.75">
      <c r="A192" s="53">
        <v>46</v>
      </c>
      <c r="B192" s="764" t="s">
        <v>596</v>
      </c>
      <c r="C192" s="53" t="s">
        <v>4451</v>
      </c>
      <c r="D192" s="55">
        <f t="shared" si="0"/>
        <v>3</v>
      </c>
      <c r="E192" s="53" t="s">
        <v>286</v>
      </c>
      <c r="F192" s="53"/>
      <c r="G192" s="54">
        <v>2</v>
      </c>
      <c r="H192" s="56"/>
      <c r="I192" s="56">
        <v>1</v>
      </c>
      <c r="J192" s="133"/>
    </row>
    <row r="193" spans="1:10" ht="15.75">
      <c r="A193" s="53">
        <v>47</v>
      </c>
      <c r="B193" s="764" t="s">
        <v>596</v>
      </c>
      <c r="C193" s="53" t="s">
        <v>4452</v>
      </c>
      <c r="D193" s="55">
        <f t="shared" si="0"/>
        <v>42</v>
      </c>
      <c r="E193" s="53" t="s">
        <v>286</v>
      </c>
      <c r="F193" s="53"/>
      <c r="G193" s="54">
        <v>8</v>
      </c>
      <c r="H193" s="56">
        <v>11</v>
      </c>
      <c r="I193" s="56">
        <v>5</v>
      </c>
      <c r="J193" s="133">
        <v>18</v>
      </c>
    </row>
    <row r="194" spans="1:10" ht="15.75">
      <c r="A194" s="53">
        <v>48</v>
      </c>
      <c r="B194" s="764" t="s">
        <v>596</v>
      </c>
      <c r="C194" s="53" t="s">
        <v>4453</v>
      </c>
      <c r="D194" s="55">
        <f t="shared" si="0"/>
        <v>3</v>
      </c>
      <c r="E194" s="53" t="s">
        <v>286</v>
      </c>
      <c r="F194" s="53"/>
      <c r="G194" s="54"/>
      <c r="H194" s="56">
        <v>2</v>
      </c>
      <c r="I194" s="56"/>
      <c r="J194" s="133">
        <v>1</v>
      </c>
    </row>
    <row r="195" spans="1:10" ht="15.75">
      <c r="A195" s="53">
        <v>49</v>
      </c>
      <c r="B195" s="764" t="s">
        <v>596</v>
      </c>
      <c r="C195" s="53" t="s">
        <v>4454</v>
      </c>
      <c r="D195" s="55">
        <f t="shared" si="0"/>
        <v>40</v>
      </c>
      <c r="E195" s="53" t="s">
        <v>286</v>
      </c>
      <c r="F195" s="53"/>
      <c r="G195" s="54">
        <v>13</v>
      </c>
      <c r="H195" s="56">
        <v>8</v>
      </c>
      <c r="I195" s="56">
        <v>10</v>
      </c>
      <c r="J195" s="133">
        <v>9</v>
      </c>
    </row>
    <row r="196" spans="1:10" ht="15.75">
      <c r="A196" s="1069" t="s">
        <v>1904</v>
      </c>
      <c r="B196" s="1069"/>
      <c r="C196" s="1069"/>
      <c r="D196" s="1069"/>
      <c r="E196" s="1069"/>
      <c r="F196" s="1069"/>
      <c r="G196" s="1069"/>
      <c r="H196" s="1069"/>
      <c r="I196" s="1069"/>
      <c r="J196" s="1069"/>
    </row>
    <row r="197" spans="1:10" ht="15.75">
      <c r="A197" s="37">
        <v>50</v>
      </c>
      <c r="B197" s="765" t="s">
        <v>1899</v>
      </c>
      <c r="C197" s="452" t="s">
        <v>1900</v>
      </c>
      <c r="D197" s="452">
        <v>6</v>
      </c>
      <c r="E197" s="53" t="s">
        <v>286</v>
      </c>
      <c r="F197" s="452"/>
      <c r="G197" s="452"/>
      <c r="H197" s="452"/>
      <c r="I197" s="452">
        <v>6</v>
      </c>
      <c r="J197" s="131"/>
    </row>
    <row r="198" spans="1:10" ht="15.75">
      <c r="A198" s="37">
        <v>51</v>
      </c>
      <c r="B198" s="765" t="s">
        <v>1901</v>
      </c>
      <c r="C198" s="453" t="s">
        <v>1902</v>
      </c>
      <c r="D198" s="452">
        <v>2</v>
      </c>
      <c r="E198" s="53" t="s">
        <v>286</v>
      </c>
      <c r="F198" s="452"/>
      <c r="G198" s="452"/>
      <c r="H198" s="452"/>
      <c r="I198" s="452">
        <v>2</v>
      </c>
      <c r="J198" s="131"/>
    </row>
    <row r="199" spans="1:10" ht="15.75">
      <c r="A199" s="1070" t="s">
        <v>2465</v>
      </c>
      <c r="B199" s="1070"/>
      <c r="C199" s="1070"/>
      <c r="D199" s="1070"/>
      <c r="E199" s="1070"/>
      <c r="F199" s="1070"/>
      <c r="G199" s="1070"/>
      <c r="H199" s="1070"/>
      <c r="I199" s="1070"/>
      <c r="J199" s="1043"/>
    </row>
    <row r="200" spans="1:10" ht="15.75">
      <c r="A200" s="57">
        <v>52</v>
      </c>
      <c r="B200" s="766">
        <v>96879797</v>
      </c>
      <c r="C200" s="57" t="s">
        <v>2466</v>
      </c>
      <c r="D200" s="55">
        <v>24</v>
      </c>
      <c r="E200" s="53" t="s">
        <v>286</v>
      </c>
      <c r="F200" s="57"/>
      <c r="G200" s="54">
        <v>6</v>
      </c>
      <c r="H200" s="56">
        <v>6</v>
      </c>
      <c r="I200" s="56">
        <v>6</v>
      </c>
      <c r="J200" s="133">
        <v>6</v>
      </c>
    </row>
    <row r="201" spans="1:10" ht="15.75">
      <c r="A201" s="57">
        <v>53</v>
      </c>
      <c r="B201" s="766">
        <v>96444649</v>
      </c>
      <c r="C201" s="57" t="s">
        <v>2467</v>
      </c>
      <c r="D201" s="55">
        <v>24</v>
      </c>
      <c r="E201" s="53" t="s">
        <v>286</v>
      </c>
      <c r="F201" s="57"/>
      <c r="G201" s="54">
        <v>6</v>
      </c>
      <c r="H201" s="56">
        <v>6</v>
      </c>
      <c r="I201" s="56">
        <v>6</v>
      </c>
      <c r="J201" s="133">
        <v>6</v>
      </c>
    </row>
    <row r="202" spans="1:10" ht="15.75">
      <c r="A202" s="57">
        <v>54</v>
      </c>
      <c r="B202" s="766">
        <v>96553450</v>
      </c>
      <c r="C202" s="57" t="s">
        <v>2468</v>
      </c>
      <c r="D202" s="55">
        <v>18</v>
      </c>
      <c r="E202" s="53" t="s">
        <v>286</v>
      </c>
      <c r="F202" s="57"/>
      <c r="G202" s="54">
        <v>5</v>
      </c>
      <c r="H202" s="56">
        <v>5</v>
      </c>
      <c r="I202" s="56">
        <v>4</v>
      </c>
      <c r="J202" s="133">
        <v>4</v>
      </c>
    </row>
    <row r="203" spans="1:10" ht="15.75">
      <c r="A203" s="57">
        <v>55</v>
      </c>
      <c r="B203" s="766" t="s">
        <v>2469</v>
      </c>
      <c r="C203" s="57" t="s">
        <v>2470</v>
      </c>
      <c r="D203" s="55">
        <v>8</v>
      </c>
      <c r="E203" s="53" t="s">
        <v>286</v>
      </c>
      <c r="F203" s="57"/>
      <c r="G203" s="54">
        <v>2</v>
      </c>
      <c r="H203" s="56">
        <v>2</v>
      </c>
      <c r="I203" s="56">
        <v>2</v>
      </c>
      <c r="J203" s="133">
        <v>2</v>
      </c>
    </row>
    <row r="204" spans="1:10" ht="15.75">
      <c r="A204" s="57">
        <v>56</v>
      </c>
      <c r="B204" s="766" t="s">
        <v>2471</v>
      </c>
      <c r="C204" s="57" t="s">
        <v>2472</v>
      </c>
      <c r="D204" s="55">
        <v>8</v>
      </c>
      <c r="E204" s="53" t="s">
        <v>286</v>
      </c>
      <c r="F204" s="57"/>
      <c r="G204" s="54">
        <v>2</v>
      </c>
      <c r="H204" s="56">
        <v>2</v>
      </c>
      <c r="I204" s="56">
        <v>2</v>
      </c>
      <c r="J204" s="133">
        <v>2</v>
      </c>
    </row>
    <row r="205" spans="1:10" ht="15.75">
      <c r="A205" s="57">
        <v>57</v>
      </c>
      <c r="B205" s="766" t="s">
        <v>2473</v>
      </c>
      <c r="C205" s="57" t="s">
        <v>2474</v>
      </c>
      <c r="D205" s="55">
        <v>4</v>
      </c>
      <c r="E205" s="53" t="s">
        <v>286</v>
      </c>
      <c r="F205" s="57"/>
      <c r="G205" s="54">
        <v>1</v>
      </c>
      <c r="H205" s="56">
        <v>1</v>
      </c>
      <c r="I205" s="56">
        <v>1</v>
      </c>
      <c r="J205" s="133">
        <v>1</v>
      </c>
    </row>
    <row r="206" spans="1:10" ht="15.75">
      <c r="A206" s="57">
        <v>58</v>
      </c>
      <c r="B206" s="766">
        <v>96879797</v>
      </c>
      <c r="C206" s="57" t="s">
        <v>2475</v>
      </c>
      <c r="D206" s="55">
        <v>16</v>
      </c>
      <c r="E206" s="53" t="s">
        <v>286</v>
      </c>
      <c r="F206" s="57"/>
      <c r="G206" s="54">
        <v>4</v>
      </c>
      <c r="H206" s="56">
        <v>4</v>
      </c>
      <c r="I206" s="56">
        <v>4</v>
      </c>
      <c r="J206" s="133">
        <v>4</v>
      </c>
    </row>
    <row r="207" spans="1:10" ht="15.75">
      <c r="A207" s="57">
        <v>59</v>
      </c>
      <c r="B207" s="766" t="s">
        <v>2476</v>
      </c>
      <c r="C207" s="57" t="s">
        <v>2477</v>
      </c>
      <c r="D207" s="55">
        <v>16</v>
      </c>
      <c r="E207" s="53" t="s">
        <v>286</v>
      </c>
      <c r="F207" s="57"/>
      <c r="G207" s="54">
        <v>4</v>
      </c>
      <c r="H207" s="56">
        <v>4</v>
      </c>
      <c r="I207" s="56">
        <v>4</v>
      </c>
      <c r="J207" s="133">
        <v>4</v>
      </c>
    </row>
    <row r="208" spans="1:10" ht="15.75">
      <c r="A208" s="57">
        <v>60</v>
      </c>
      <c r="B208" s="766" t="s">
        <v>2478</v>
      </c>
      <c r="C208" s="57" t="s">
        <v>2479</v>
      </c>
      <c r="D208" s="55">
        <v>16</v>
      </c>
      <c r="E208" s="53" t="s">
        <v>286</v>
      </c>
      <c r="F208" s="57"/>
      <c r="G208" s="54">
        <v>4</v>
      </c>
      <c r="H208" s="56">
        <v>4</v>
      </c>
      <c r="I208" s="56">
        <v>4</v>
      </c>
      <c r="J208" s="133">
        <v>4</v>
      </c>
    </row>
    <row r="209" spans="1:10" ht="15.75">
      <c r="A209" s="57">
        <v>61</v>
      </c>
      <c r="B209" s="766">
        <v>9096918</v>
      </c>
      <c r="C209" s="57" t="s">
        <v>2480</v>
      </c>
      <c r="D209" s="55">
        <v>4</v>
      </c>
      <c r="E209" s="53" t="s">
        <v>286</v>
      </c>
      <c r="F209" s="57"/>
      <c r="G209" s="54">
        <v>1</v>
      </c>
      <c r="H209" s="56">
        <v>1</v>
      </c>
      <c r="I209" s="56">
        <v>1</v>
      </c>
      <c r="J209" s="133">
        <v>1</v>
      </c>
    </row>
    <row r="210" spans="1:10" ht="15.75">
      <c r="A210" s="57">
        <v>62</v>
      </c>
      <c r="B210" s="767" t="s">
        <v>2481</v>
      </c>
      <c r="C210" s="120" t="s">
        <v>2482</v>
      </c>
      <c r="D210" s="55">
        <v>8</v>
      </c>
      <c r="E210" s="53" t="s">
        <v>286</v>
      </c>
      <c r="F210" s="57"/>
      <c r="G210" s="54">
        <v>2</v>
      </c>
      <c r="H210" s="56">
        <v>2</v>
      </c>
      <c r="I210" s="56">
        <v>2</v>
      </c>
      <c r="J210" s="133">
        <v>2</v>
      </c>
    </row>
    <row r="211" spans="1:10" ht="15.75">
      <c r="A211" s="57">
        <v>63</v>
      </c>
      <c r="B211" s="767" t="s">
        <v>2483</v>
      </c>
      <c r="C211" s="120" t="s">
        <v>2484</v>
      </c>
      <c r="D211" s="55">
        <v>4</v>
      </c>
      <c r="E211" s="53" t="s">
        <v>286</v>
      </c>
      <c r="F211" s="57"/>
      <c r="G211" s="54">
        <v>1</v>
      </c>
      <c r="H211" s="56">
        <v>1</v>
      </c>
      <c r="I211" s="56">
        <v>1</v>
      </c>
      <c r="J211" s="133">
        <v>1</v>
      </c>
    </row>
    <row r="212" spans="1:10" ht="31.5">
      <c r="A212" s="57">
        <v>64</v>
      </c>
      <c r="B212" s="767" t="s">
        <v>2485</v>
      </c>
      <c r="C212" s="120" t="s">
        <v>2486</v>
      </c>
      <c r="D212" s="55">
        <v>12</v>
      </c>
      <c r="E212" s="53" t="s">
        <v>286</v>
      </c>
      <c r="F212" s="57"/>
      <c r="G212" s="54">
        <v>3</v>
      </c>
      <c r="H212" s="56">
        <v>3</v>
      </c>
      <c r="I212" s="56">
        <v>3</v>
      </c>
      <c r="J212" s="133">
        <v>3</v>
      </c>
    </row>
    <row r="213" spans="1:10" ht="15.75">
      <c r="A213" s="57">
        <v>65</v>
      </c>
      <c r="B213" s="767" t="s">
        <v>2487</v>
      </c>
      <c r="C213" s="120" t="s">
        <v>2488</v>
      </c>
      <c r="D213" s="55">
        <v>4</v>
      </c>
      <c r="E213" s="53" t="s">
        <v>286</v>
      </c>
      <c r="F213" s="57"/>
      <c r="G213" s="54">
        <v>1</v>
      </c>
      <c r="H213" s="56">
        <v>1</v>
      </c>
      <c r="I213" s="56">
        <v>1</v>
      </c>
      <c r="J213" s="133">
        <v>1</v>
      </c>
    </row>
    <row r="214" spans="1:10" ht="15.75">
      <c r="A214" s="57">
        <v>66</v>
      </c>
      <c r="B214" s="767" t="s">
        <v>2489</v>
      </c>
      <c r="C214" s="120" t="s">
        <v>2488</v>
      </c>
      <c r="D214" s="55">
        <v>4</v>
      </c>
      <c r="E214" s="53" t="s">
        <v>286</v>
      </c>
      <c r="F214" s="57"/>
      <c r="G214" s="54">
        <v>1</v>
      </c>
      <c r="H214" s="56">
        <v>1</v>
      </c>
      <c r="I214" s="56">
        <v>1</v>
      </c>
      <c r="J214" s="133">
        <v>1</v>
      </c>
    </row>
    <row r="215" spans="1:10" ht="15.75">
      <c r="A215" s="57">
        <v>67</v>
      </c>
      <c r="B215" s="767" t="s">
        <v>2490</v>
      </c>
      <c r="C215" s="120" t="s">
        <v>2491</v>
      </c>
      <c r="D215" s="55">
        <v>4</v>
      </c>
      <c r="E215" s="53" t="s">
        <v>286</v>
      </c>
      <c r="F215" s="57"/>
      <c r="G215" s="54">
        <v>1</v>
      </c>
      <c r="H215" s="56">
        <v>1</v>
      </c>
      <c r="I215" s="56">
        <v>1</v>
      </c>
      <c r="J215" s="133">
        <v>1</v>
      </c>
    </row>
    <row r="216" spans="1:10" ht="15.75">
      <c r="A216" s="57">
        <v>68</v>
      </c>
      <c r="B216" s="766" t="s">
        <v>2492</v>
      </c>
      <c r="C216" s="57" t="s">
        <v>2493</v>
      </c>
      <c r="D216" s="55">
        <v>56</v>
      </c>
      <c r="E216" s="53" t="s">
        <v>286</v>
      </c>
      <c r="F216" s="57"/>
      <c r="G216" s="54">
        <v>14</v>
      </c>
      <c r="H216" s="56">
        <v>14</v>
      </c>
      <c r="I216" s="56">
        <v>14</v>
      </c>
      <c r="J216" s="133">
        <v>14</v>
      </c>
    </row>
    <row r="217" spans="1:10" ht="15.75">
      <c r="A217" s="57">
        <v>69</v>
      </c>
      <c r="B217" s="766" t="s">
        <v>2494</v>
      </c>
      <c r="C217" s="57" t="s">
        <v>2495</v>
      </c>
      <c r="D217" s="55">
        <v>48</v>
      </c>
      <c r="E217" s="53" t="s">
        <v>286</v>
      </c>
      <c r="F217" s="57"/>
      <c r="G217" s="54">
        <v>14</v>
      </c>
      <c r="H217" s="56">
        <v>14</v>
      </c>
      <c r="I217" s="56">
        <v>10</v>
      </c>
      <c r="J217" s="133">
        <v>10</v>
      </c>
    </row>
    <row r="218" spans="1:10" ht="15.75">
      <c r="A218" s="57">
        <v>70</v>
      </c>
      <c r="B218" s="766" t="s">
        <v>2496</v>
      </c>
      <c r="C218" s="57" t="s">
        <v>2497</v>
      </c>
      <c r="D218" s="55">
        <v>44</v>
      </c>
      <c r="E218" s="53" t="s">
        <v>286</v>
      </c>
      <c r="F218" s="57"/>
      <c r="G218" s="54">
        <v>13</v>
      </c>
      <c r="H218" s="56">
        <v>13</v>
      </c>
      <c r="I218" s="56">
        <v>9</v>
      </c>
      <c r="J218" s="133">
        <v>9</v>
      </c>
    </row>
    <row r="219" spans="1:10" ht="15.75">
      <c r="A219" s="57">
        <v>71</v>
      </c>
      <c r="B219" s="766" t="s">
        <v>2498</v>
      </c>
      <c r="C219" s="57" t="s">
        <v>2499</v>
      </c>
      <c r="D219" s="55">
        <v>48</v>
      </c>
      <c r="E219" s="53" t="s">
        <v>286</v>
      </c>
      <c r="F219" s="57"/>
      <c r="G219" s="54">
        <v>12</v>
      </c>
      <c r="H219" s="56">
        <v>12</v>
      </c>
      <c r="I219" s="56">
        <v>12</v>
      </c>
      <c r="J219" s="133">
        <v>12</v>
      </c>
    </row>
    <row r="220" spans="1:10" ht="15.75">
      <c r="A220" s="57">
        <v>72</v>
      </c>
      <c r="B220" s="766" t="s">
        <v>2500</v>
      </c>
      <c r="C220" s="57" t="s">
        <v>2501</v>
      </c>
      <c r="D220" s="55">
        <v>48</v>
      </c>
      <c r="E220" s="53" t="s">
        <v>286</v>
      </c>
      <c r="F220" s="57"/>
      <c r="G220" s="54">
        <v>12</v>
      </c>
      <c r="H220" s="56">
        <v>12</v>
      </c>
      <c r="I220" s="56">
        <v>12</v>
      </c>
      <c r="J220" s="133">
        <v>12</v>
      </c>
    </row>
    <row r="221" spans="1:10" ht="15.75">
      <c r="A221" s="57">
        <v>73</v>
      </c>
      <c r="B221" s="766" t="s">
        <v>2502</v>
      </c>
      <c r="C221" s="57" t="s">
        <v>2501</v>
      </c>
      <c r="D221" s="55">
        <v>48</v>
      </c>
      <c r="E221" s="53" t="s">
        <v>286</v>
      </c>
      <c r="F221" s="57"/>
      <c r="G221" s="54">
        <v>12</v>
      </c>
      <c r="H221" s="56">
        <v>12</v>
      </c>
      <c r="I221" s="56">
        <v>12</v>
      </c>
      <c r="J221" s="133">
        <v>12</v>
      </c>
    </row>
    <row r="222" spans="1:10" ht="15.75">
      <c r="A222" s="57">
        <v>74</v>
      </c>
      <c r="B222" s="766">
        <v>8980714230</v>
      </c>
      <c r="C222" s="57" t="s">
        <v>2503</v>
      </c>
      <c r="D222" s="55">
        <v>24</v>
      </c>
      <c r="E222" s="53" t="s">
        <v>286</v>
      </c>
      <c r="F222" s="57"/>
      <c r="G222" s="54">
        <v>6</v>
      </c>
      <c r="H222" s="56">
        <v>6</v>
      </c>
      <c r="I222" s="56">
        <v>6</v>
      </c>
      <c r="J222" s="133">
        <v>6</v>
      </c>
    </row>
    <row r="223" spans="1:10" ht="15.75">
      <c r="A223" s="57">
        <v>75</v>
      </c>
      <c r="B223" s="766">
        <v>8980714240</v>
      </c>
      <c r="C223" s="57" t="s">
        <v>2503</v>
      </c>
      <c r="D223" s="55">
        <v>24</v>
      </c>
      <c r="E223" s="53" t="s">
        <v>286</v>
      </c>
      <c r="F223" s="57"/>
      <c r="G223" s="54">
        <v>6</v>
      </c>
      <c r="H223" s="56">
        <v>6</v>
      </c>
      <c r="I223" s="56">
        <v>6</v>
      </c>
      <c r="J223" s="133">
        <v>6</v>
      </c>
    </row>
    <row r="224" spans="1:10" ht="15.75">
      <c r="A224" s="57">
        <v>76</v>
      </c>
      <c r="B224" s="766" t="s">
        <v>2504</v>
      </c>
      <c r="C224" s="57" t="s">
        <v>2505</v>
      </c>
      <c r="D224" s="55">
        <v>8</v>
      </c>
      <c r="E224" s="53" t="s">
        <v>286</v>
      </c>
      <c r="F224" s="57"/>
      <c r="G224" s="54">
        <v>2</v>
      </c>
      <c r="H224" s="56">
        <v>2</v>
      </c>
      <c r="I224" s="56">
        <v>2</v>
      </c>
      <c r="J224" s="133">
        <v>2</v>
      </c>
    </row>
    <row r="225" spans="1:10" ht="15.75">
      <c r="A225" s="57">
        <v>77</v>
      </c>
      <c r="B225" s="766" t="s">
        <v>2506</v>
      </c>
      <c r="C225" s="57" t="s">
        <v>2507</v>
      </c>
      <c r="D225" s="55">
        <v>16</v>
      </c>
      <c r="E225" s="53" t="s">
        <v>286</v>
      </c>
      <c r="F225" s="57"/>
      <c r="G225" s="54">
        <v>4</v>
      </c>
      <c r="H225" s="56">
        <v>4</v>
      </c>
      <c r="I225" s="56">
        <v>4</v>
      </c>
      <c r="J225" s="133">
        <v>4</v>
      </c>
    </row>
    <row r="226" spans="1:10" ht="15.75">
      <c r="A226" s="57">
        <v>78</v>
      </c>
      <c r="B226" s="766" t="s">
        <v>2508</v>
      </c>
      <c r="C226" s="57" t="s">
        <v>2509</v>
      </c>
      <c r="D226" s="55">
        <v>4</v>
      </c>
      <c r="E226" s="53" t="s">
        <v>286</v>
      </c>
      <c r="F226" s="57"/>
      <c r="G226" s="54">
        <v>1</v>
      </c>
      <c r="H226" s="56">
        <v>1</v>
      </c>
      <c r="I226" s="56">
        <v>1</v>
      </c>
      <c r="J226" s="133">
        <v>1</v>
      </c>
    </row>
    <row r="227" spans="1:10" ht="15.75">
      <c r="A227" s="57">
        <v>79</v>
      </c>
      <c r="B227" s="766" t="s">
        <v>2504</v>
      </c>
      <c r="C227" s="57" t="s">
        <v>2510</v>
      </c>
      <c r="D227" s="55">
        <v>8</v>
      </c>
      <c r="E227" s="53" t="s">
        <v>286</v>
      </c>
      <c r="F227" s="57"/>
      <c r="G227" s="54">
        <v>2</v>
      </c>
      <c r="H227" s="56">
        <v>2</v>
      </c>
      <c r="I227" s="56">
        <v>2</v>
      </c>
      <c r="J227" s="133">
        <v>2</v>
      </c>
    </row>
    <row r="228" spans="1:10" ht="15.75">
      <c r="A228" s="57">
        <v>80</v>
      </c>
      <c r="B228" s="766" t="s">
        <v>2506</v>
      </c>
      <c r="C228" s="57" t="s">
        <v>2511</v>
      </c>
      <c r="D228" s="55">
        <v>16</v>
      </c>
      <c r="E228" s="53" t="s">
        <v>286</v>
      </c>
      <c r="F228" s="57"/>
      <c r="G228" s="54">
        <v>4</v>
      </c>
      <c r="H228" s="56">
        <v>4</v>
      </c>
      <c r="I228" s="56">
        <v>4</v>
      </c>
      <c r="J228" s="133">
        <v>4</v>
      </c>
    </row>
    <row r="229" spans="1:10" ht="15.75">
      <c r="A229" s="57">
        <v>81</v>
      </c>
      <c r="B229" s="766" t="s">
        <v>2508</v>
      </c>
      <c r="C229" s="57" t="s">
        <v>2512</v>
      </c>
      <c r="D229" s="55">
        <v>4</v>
      </c>
      <c r="E229" s="53" t="s">
        <v>286</v>
      </c>
      <c r="F229" s="57"/>
      <c r="G229" s="54">
        <v>1</v>
      </c>
      <c r="H229" s="56">
        <v>1</v>
      </c>
      <c r="I229" s="56">
        <v>1</v>
      </c>
      <c r="J229" s="133">
        <v>1</v>
      </c>
    </row>
    <row r="230" spans="1:10" ht="15.75">
      <c r="A230" s="57">
        <v>82</v>
      </c>
      <c r="B230" s="766" t="s">
        <v>2504</v>
      </c>
      <c r="C230" s="57" t="s">
        <v>2513</v>
      </c>
      <c r="D230" s="55">
        <v>48</v>
      </c>
      <c r="E230" s="53" t="s">
        <v>286</v>
      </c>
      <c r="F230" s="57"/>
      <c r="G230" s="54">
        <v>12</v>
      </c>
      <c r="H230" s="56">
        <v>12</v>
      </c>
      <c r="I230" s="56">
        <v>12</v>
      </c>
      <c r="J230" s="133">
        <v>12</v>
      </c>
    </row>
    <row r="231" spans="1:10" ht="15.75">
      <c r="A231" s="57">
        <v>83</v>
      </c>
      <c r="B231" s="766" t="s">
        <v>2506</v>
      </c>
      <c r="C231" s="57" t="s">
        <v>2514</v>
      </c>
      <c r="D231" s="55">
        <v>96</v>
      </c>
      <c r="E231" s="53" t="s">
        <v>286</v>
      </c>
      <c r="F231" s="57"/>
      <c r="G231" s="54">
        <v>24</v>
      </c>
      <c r="H231" s="56">
        <v>24</v>
      </c>
      <c r="I231" s="56">
        <v>24</v>
      </c>
      <c r="J231" s="133">
        <v>24</v>
      </c>
    </row>
    <row r="232" spans="1:10" ht="15.75">
      <c r="A232" s="57">
        <v>84</v>
      </c>
      <c r="B232" s="766" t="s">
        <v>2508</v>
      </c>
      <c r="C232" s="57" t="s">
        <v>2515</v>
      </c>
      <c r="D232" s="55">
        <v>24</v>
      </c>
      <c r="E232" s="53" t="s">
        <v>286</v>
      </c>
      <c r="F232" s="57"/>
      <c r="G232" s="54">
        <v>6</v>
      </c>
      <c r="H232" s="56">
        <v>6</v>
      </c>
      <c r="I232" s="56">
        <v>6</v>
      </c>
      <c r="J232" s="133">
        <v>6</v>
      </c>
    </row>
    <row r="233" spans="1:10" ht="15.75">
      <c r="A233" s="57">
        <v>85</v>
      </c>
      <c r="B233" s="766" t="s">
        <v>2504</v>
      </c>
      <c r="C233" s="57" t="s">
        <v>2516</v>
      </c>
      <c r="D233" s="55">
        <v>8</v>
      </c>
      <c r="E233" s="53" t="s">
        <v>286</v>
      </c>
      <c r="F233" s="57"/>
      <c r="G233" s="54">
        <v>2</v>
      </c>
      <c r="H233" s="56">
        <v>2</v>
      </c>
      <c r="I233" s="56">
        <v>2</v>
      </c>
      <c r="J233" s="133">
        <v>2</v>
      </c>
    </row>
    <row r="234" spans="1:10" ht="15.75">
      <c r="A234" s="57">
        <v>86</v>
      </c>
      <c r="B234" s="766" t="s">
        <v>2506</v>
      </c>
      <c r="C234" s="57" t="s">
        <v>2517</v>
      </c>
      <c r="D234" s="55">
        <v>16</v>
      </c>
      <c r="E234" s="53" t="s">
        <v>286</v>
      </c>
      <c r="F234" s="57"/>
      <c r="G234" s="54">
        <v>4</v>
      </c>
      <c r="H234" s="56">
        <v>4</v>
      </c>
      <c r="I234" s="56">
        <v>4</v>
      </c>
      <c r="J234" s="133">
        <v>4</v>
      </c>
    </row>
    <row r="235" spans="1:10" ht="15.75">
      <c r="A235" s="57">
        <v>87</v>
      </c>
      <c r="B235" s="766" t="s">
        <v>2508</v>
      </c>
      <c r="C235" s="57" t="s">
        <v>2518</v>
      </c>
      <c r="D235" s="55">
        <v>4</v>
      </c>
      <c r="E235" s="53" t="s">
        <v>286</v>
      </c>
      <c r="F235" s="57"/>
      <c r="G235" s="54">
        <v>1</v>
      </c>
      <c r="H235" s="56">
        <v>1</v>
      </c>
      <c r="I235" s="56">
        <v>1</v>
      </c>
      <c r="J235" s="133">
        <v>1</v>
      </c>
    </row>
    <row r="236" spans="1:10" ht="15.75">
      <c r="A236" s="57">
        <v>88</v>
      </c>
      <c r="B236" s="766" t="s">
        <v>2504</v>
      </c>
      <c r="C236" s="57" t="s">
        <v>2519</v>
      </c>
      <c r="D236" s="55">
        <v>112</v>
      </c>
      <c r="E236" s="53" t="s">
        <v>286</v>
      </c>
      <c r="F236" s="57"/>
      <c r="G236" s="54">
        <v>28</v>
      </c>
      <c r="H236" s="56">
        <v>28</v>
      </c>
      <c r="I236" s="56">
        <v>28</v>
      </c>
      <c r="J236" s="133">
        <v>28</v>
      </c>
    </row>
    <row r="237" spans="1:10" ht="15.75">
      <c r="A237" s="57">
        <v>89</v>
      </c>
      <c r="B237" s="766" t="s">
        <v>2506</v>
      </c>
      <c r="C237" s="57" t="s">
        <v>2520</v>
      </c>
      <c r="D237" s="55">
        <v>224</v>
      </c>
      <c r="E237" s="53" t="s">
        <v>286</v>
      </c>
      <c r="F237" s="57"/>
      <c r="G237" s="54">
        <v>56</v>
      </c>
      <c r="H237" s="56">
        <v>56</v>
      </c>
      <c r="I237" s="56">
        <v>56</v>
      </c>
      <c r="J237" s="133">
        <v>56</v>
      </c>
    </row>
    <row r="238" spans="1:10" ht="15.75">
      <c r="A238" s="57">
        <v>90</v>
      </c>
      <c r="B238" s="766" t="s">
        <v>2508</v>
      </c>
      <c r="C238" s="57" t="s">
        <v>2521</v>
      </c>
      <c r="D238" s="55">
        <v>56</v>
      </c>
      <c r="E238" s="53" t="s">
        <v>286</v>
      </c>
      <c r="F238" s="57"/>
      <c r="G238" s="54">
        <v>14</v>
      </c>
      <c r="H238" s="56">
        <v>14</v>
      </c>
      <c r="I238" s="56">
        <v>14</v>
      </c>
      <c r="J238" s="133">
        <v>14</v>
      </c>
    </row>
    <row r="239" spans="1:10" ht="15.75">
      <c r="A239" s="57">
        <v>91</v>
      </c>
      <c r="B239" s="766" t="s">
        <v>2522</v>
      </c>
      <c r="C239" s="57" t="s">
        <v>2523</v>
      </c>
      <c r="D239" s="55">
        <v>8</v>
      </c>
      <c r="E239" s="53" t="s">
        <v>286</v>
      </c>
      <c r="F239" s="57"/>
      <c r="G239" s="54">
        <v>2</v>
      </c>
      <c r="H239" s="56">
        <v>2</v>
      </c>
      <c r="I239" s="56">
        <v>2</v>
      </c>
      <c r="J239" s="133">
        <v>2</v>
      </c>
    </row>
    <row r="240" spans="1:10" ht="15.75">
      <c r="A240" s="57">
        <v>92</v>
      </c>
      <c r="B240" s="766" t="s">
        <v>2524</v>
      </c>
      <c r="C240" s="57" t="s">
        <v>2525</v>
      </c>
      <c r="D240" s="55">
        <v>24</v>
      </c>
      <c r="E240" s="53" t="s">
        <v>286</v>
      </c>
      <c r="F240" s="57"/>
      <c r="G240" s="54">
        <v>6</v>
      </c>
      <c r="H240" s="56">
        <v>6</v>
      </c>
      <c r="I240" s="56">
        <v>6</v>
      </c>
      <c r="J240" s="133">
        <v>6</v>
      </c>
    </row>
    <row r="241" spans="1:10" ht="15.75">
      <c r="A241" s="57">
        <v>93</v>
      </c>
      <c r="B241" s="766" t="s">
        <v>2526</v>
      </c>
      <c r="C241" s="57" t="s">
        <v>2527</v>
      </c>
      <c r="D241" s="55">
        <v>22</v>
      </c>
      <c r="E241" s="53" t="s">
        <v>286</v>
      </c>
      <c r="F241" s="57"/>
      <c r="G241" s="54">
        <v>6</v>
      </c>
      <c r="H241" s="56">
        <v>5</v>
      </c>
      <c r="I241" s="56">
        <v>6</v>
      </c>
      <c r="J241" s="133">
        <v>5</v>
      </c>
    </row>
    <row r="242" spans="1:10" ht="15.75">
      <c r="A242" s="57">
        <v>94</v>
      </c>
      <c r="B242" s="766" t="s">
        <v>2528</v>
      </c>
      <c r="C242" s="57" t="s">
        <v>2529</v>
      </c>
      <c r="D242" s="55">
        <v>16</v>
      </c>
      <c r="E242" s="53" t="s">
        <v>286</v>
      </c>
      <c r="F242" s="57"/>
      <c r="G242" s="54">
        <v>3</v>
      </c>
      <c r="H242" s="56">
        <v>5</v>
      </c>
      <c r="I242" s="56">
        <v>5</v>
      </c>
      <c r="J242" s="133">
        <v>3</v>
      </c>
    </row>
    <row r="243" spans="1:10" ht="15.75">
      <c r="A243" s="57">
        <v>95</v>
      </c>
      <c r="B243" s="766" t="s">
        <v>2530</v>
      </c>
      <c r="C243" s="57" t="s">
        <v>2531</v>
      </c>
      <c r="D243" s="55">
        <v>20</v>
      </c>
      <c r="E243" s="53" t="s">
        <v>286</v>
      </c>
      <c r="F243" s="57"/>
      <c r="G243" s="54">
        <v>5</v>
      </c>
      <c r="H243" s="56">
        <v>5</v>
      </c>
      <c r="I243" s="56">
        <v>5</v>
      </c>
      <c r="J243" s="133">
        <v>5</v>
      </c>
    </row>
    <row r="244" spans="1:10" ht="15.75">
      <c r="A244" s="57">
        <v>96</v>
      </c>
      <c r="B244" s="766" t="s">
        <v>2532</v>
      </c>
      <c r="C244" s="57" t="s">
        <v>2533</v>
      </c>
      <c r="D244" s="55">
        <v>132</v>
      </c>
      <c r="E244" s="53" t="s">
        <v>286</v>
      </c>
      <c r="F244" s="57"/>
      <c r="G244" s="54">
        <v>33</v>
      </c>
      <c r="H244" s="56">
        <v>33</v>
      </c>
      <c r="I244" s="56">
        <v>33</v>
      </c>
      <c r="J244" s="133">
        <v>33</v>
      </c>
    </row>
    <row r="245" spans="1:10" ht="15.75">
      <c r="A245" s="57">
        <v>97</v>
      </c>
      <c r="B245" s="766" t="s">
        <v>2476</v>
      </c>
      <c r="C245" s="57" t="s">
        <v>2534</v>
      </c>
      <c r="D245" s="55">
        <v>132</v>
      </c>
      <c r="E245" s="53" t="s">
        <v>286</v>
      </c>
      <c r="F245" s="57"/>
      <c r="G245" s="54">
        <v>33</v>
      </c>
      <c r="H245" s="56">
        <v>33</v>
      </c>
      <c r="I245" s="56">
        <v>33</v>
      </c>
      <c r="J245" s="133">
        <v>33</v>
      </c>
    </row>
    <row r="246" spans="1:10" ht="15.75">
      <c r="A246" s="57">
        <v>98</v>
      </c>
      <c r="B246" s="766">
        <v>96553450</v>
      </c>
      <c r="C246" s="57" t="s">
        <v>2535</v>
      </c>
      <c r="D246" s="55">
        <v>110</v>
      </c>
      <c r="E246" s="53" t="s">
        <v>286</v>
      </c>
      <c r="F246" s="57"/>
      <c r="G246" s="54">
        <v>31</v>
      </c>
      <c r="H246" s="56">
        <v>31</v>
      </c>
      <c r="I246" s="56">
        <v>24</v>
      </c>
      <c r="J246" s="133">
        <v>24</v>
      </c>
    </row>
    <row r="247" spans="1:10" ht="15.75">
      <c r="A247" s="57">
        <v>99</v>
      </c>
      <c r="B247" s="766" t="s">
        <v>2536</v>
      </c>
      <c r="C247" s="57" t="s">
        <v>2537</v>
      </c>
      <c r="D247" s="55">
        <v>8</v>
      </c>
      <c r="E247" s="53" t="s">
        <v>286</v>
      </c>
      <c r="F247" s="57"/>
      <c r="G247" s="54">
        <v>2</v>
      </c>
      <c r="H247" s="56">
        <v>2</v>
      </c>
      <c r="I247" s="56">
        <v>2</v>
      </c>
      <c r="J247" s="133">
        <v>2</v>
      </c>
    </row>
    <row r="248" spans="1:10" ht="15.75">
      <c r="A248" s="57">
        <v>100</v>
      </c>
      <c r="B248" s="766" t="s">
        <v>2476</v>
      </c>
      <c r="C248" s="57" t="s">
        <v>2538</v>
      </c>
      <c r="D248" s="55">
        <v>4</v>
      </c>
      <c r="E248" s="53" t="s">
        <v>286</v>
      </c>
      <c r="F248" s="57"/>
      <c r="G248" s="54">
        <v>1</v>
      </c>
      <c r="H248" s="56">
        <v>1</v>
      </c>
      <c r="I248" s="56">
        <v>1</v>
      </c>
      <c r="J248" s="133">
        <v>1</v>
      </c>
    </row>
    <row r="249" spans="1:10" ht="15.75">
      <c r="A249" s="57">
        <v>101</v>
      </c>
      <c r="B249" s="766" t="s">
        <v>2539</v>
      </c>
      <c r="C249" s="57" t="s">
        <v>2540</v>
      </c>
      <c r="D249" s="55">
        <v>4</v>
      </c>
      <c r="E249" s="53" t="s">
        <v>286</v>
      </c>
      <c r="F249" s="57"/>
      <c r="G249" s="54">
        <v>1</v>
      </c>
      <c r="H249" s="56">
        <v>1</v>
      </c>
      <c r="I249" s="56">
        <v>1</v>
      </c>
      <c r="J249" s="133">
        <v>1</v>
      </c>
    </row>
    <row r="250" spans="1:10" ht="15.75">
      <c r="A250" s="57">
        <v>102</v>
      </c>
      <c r="B250" s="766" t="s">
        <v>2541</v>
      </c>
      <c r="C250" s="57" t="s">
        <v>2542</v>
      </c>
      <c r="D250" s="55">
        <v>8</v>
      </c>
      <c r="E250" s="53" t="s">
        <v>286</v>
      </c>
      <c r="F250" s="57"/>
      <c r="G250" s="54">
        <v>2</v>
      </c>
      <c r="H250" s="56">
        <v>2</v>
      </c>
      <c r="I250" s="56">
        <v>2</v>
      </c>
      <c r="J250" s="133">
        <v>2</v>
      </c>
    </row>
    <row r="251" spans="1:10" ht="15.75">
      <c r="A251" s="57">
        <v>103</v>
      </c>
      <c r="B251" s="766" t="s">
        <v>2471</v>
      </c>
      <c r="C251" s="57" t="s">
        <v>2543</v>
      </c>
      <c r="D251" s="55">
        <v>8</v>
      </c>
      <c r="E251" s="53" t="s">
        <v>286</v>
      </c>
      <c r="F251" s="57"/>
      <c r="G251" s="54">
        <v>2</v>
      </c>
      <c r="H251" s="56">
        <v>2</v>
      </c>
      <c r="I251" s="56">
        <v>2</v>
      </c>
      <c r="J251" s="133">
        <v>2</v>
      </c>
    </row>
    <row r="252" spans="1:10" ht="15.75">
      <c r="A252" s="57">
        <v>104</v>
      </c>
      <c r="B252" s="766" t="s">
        <v>2544</v>
      </c>
      <c r="C252" s="57" t="s">
        <v>2545</v>
      </c>
      <c r="D252" s="55">
        <v>4</v>
      </c>
      <c r="E252" s="53" t="s">
        <v>286</v>
      </c>
      <c r="F252" s="57"/>
      <c r="G252" s="54">
        <v>1</v>
      </c>
      <c r="H252" s="56">
        <v>1</v>
      </c>
      <c r="I252" s="56">
        <v>1</v>
      </c>
      <c r="J252" s="133">
        <v>1</v>
      </c>
    </row>
    <row r="253" spans="1:10" ht="15.75">
      <c r="A253" s="57">
        <v>105</v>
      </c>
      <c r="B253" s="766" t="s">
        <v>2546</v>
      </c>
      <c r="C253" s="57" t="s">
        <v>2547</v>
      </c>
      <c r="D253" s="55">
        <v>7</v>
      </c>
      <c r="E253" s="53" t="s">
        <v>286</v>
      </c>
      <c r="F253" s="57"/>
      <c r="G253" s="54">
        <v>1</v>
      </c>
      <c r="H253" s="56">
        <v>2</v>
      </c>
      <c r="I253" s="56">
        <v>2</v>
      </c>
      <c r="J253" s="133">
        <v>2</v>
      </c>
    </row>
    <row r="254" spans="1:10" ht="15.75">
      <c r="A254" s="57">
        <v>106</v>
      </c>
      <c r="B254" s="766" t="s">
        <v>2548</v>
      </c>
      <c r="C254" s="57" t="s">
        <v>2549</v>
      </c>
      <c r="D254" s="55">
        <v>16</v>
      </c>
      <c r="E254" s="53" t="s">
        <v>286</v>
      </c>
      <c r="F254" s="57"/>
      <c r="G254" s="54">
        <v>4</v>
      </c>
      <c r="H254" s="56">
        <v>4</v>
      </c>
      <c r="I254" s="56">
        <v>4</v>
      </c>
      <c r="J254" s="133">
        <v>4</v>
      </c>
    </row>
    <row r="255" spans="1:10" ht="15.75">
      <c r="A255" s="57">
        <v>107</v>
      </c>
      <c r="B255" s="766" t="s">
        <v>2550</v>
      </c>
      <c r="C255" s="57" t="s">
        <v>2551</v>
      </c>
      <c r="D255" s="55">
        <v>12</v>
      </c>
      <c r="E255" s="53" t="s">
        <v>286</v>
      </c>
      <c r="F255" s="57"/>
      <c r="G255" s="54">
        <v>3</v>
      </c>
      <c r="H255" s="56">
        <v>3</v>
      </c>
      <c r="I255" s="56">
        <v>3</v>
      </c>
      <c r="J255" s="133">
        <v>3</v>
      </c>
    </row>
    <row r="256" spans="1:10" ht="15.75">
      <c r="A256" s="57">
        <v>108</v>
      </c>
      <c r="B256" s="766" t="s">
        <v>2552</v>
      </c>
      <c r="C256" s="57" t="s">
        <v>2553</v>
      </c>
      <c r="D256" s="55">
        <v>11</v>
      </c>
      <c r="E256" s="53" t="s">
        <v>286</v>
      </c>
      <c r="F256" s="57"/>
      <c r="G256" s="54">
        <v>2</v>
      </c>
      <c r="H256" s="56">
        <v>3</v>
      </c>
      <c r="I256" s="56">
        <v>3</v>
      </c>
      <c r="J256" s="133">
        <v>3</v>
      </c>
    </row>
    <row r="257" spans="1:10" ht="15.75">
      <c r="A257" s="57">
        <v>109</v>
      </c>
      <c r="B257" s="766">
        <v>81125030075</v>
      </c>
      <c r="C257" s="57" t="s">
        <v>2554</v>
      </c>
      <c r="D257" s="55">
        <v>6</v>
      </c>
      <c r="E257" s="53" t="s">
        <v>286</v>
      </c>
      <c r="F257" s="57"/>
      <c r="G257" s="54">
        <v>2</v>
      </c>
      <c r="H257" s="56">
        <v>2</v>
      </c>
      <c r="I257" s="56">
        <v>1</v>
      </c>
      <c r="J257" s="133">
        <v>1</v>
      </c>
    </row>
    <row r="258" spans="1:10" ht="31.5">
      <c r="A258" s="57">
        <v>110</v>
      </c>
      <c r="B258" s="766" t="s">
        <v>2555</v>
      </c>
      <c r="C258" s="57" t="s">
        <v>2556</v>
      </c>
      <c r="D258" s="55">
        <v>72</v>
      </c>
      <c r="E258" s="53" t="s">
        <v>286</v>
      </c>
      <c r="F258" s="57"/>
      <c r="G258" s="54">
        <v>18</v>
      </c>
      <c r="H258" s="56">
        <v>18</v>
      </c>
      <c r="I258" s="56">
        <v>18</v>
      </c>
      <c r="J258" s="133">
        <v>18</v>
      </c>
    </row>
    <row r="259" spans="1:10" ht="15.75">
      <c r="A259" s="57">
        <v>111</v>
      </c>
      <c r="B259" s="766" t="s">
        <v>2557</v>
      </c>
      <c r="C259" s="57" t="s">
        <v>2558</v>
      </c>
      <c r="D259" s="55">
        <v>4</v>
      </c>
      <c r="E259" s="53" t="s">
        <v>286</v>
      </c>
      <c r="F259" s="57"/>
      <c r="G259" s="54">
        <v>1</v>
      </c>
      <c r="H259" s="56">
        <v>1</v>
      </c>
      <c r="I259" s="56">
        <v>1</v>
      </c>
      <c r="J259" s="133">
        <v>1</v>
      </c>
    </row>
    <row r="260" spans="1:10" ht="15.75">
      <c r="A260" s="57">
        <v>112</v>
      </c>
      <c r="B260" s="766">
        <v>42609</v>
      </c>
      <c r="C260" s="57" t="s">
        <v>2559</v>
      </c>
      <c r="D260" s="55">
        <v>6</v>
      </c>
      <c r="E260" s="53" t="s">
        <v>286</v>
      </c>
      <c r="F260" s="57"/>
      <c r="G260" s="54">
        <v>2</v>
      </c>
      <c r="H260" s="56">
        <v>2</v>
      </c>
      <c r="I260" s="56">
        <v>1</v>
      </c>
      <c r="J260" s="133">
        <v>1</v>
      </c>
    </row>
    <row r="261" spans="1:10" ht="31.5">
      <c r="A261" s="57">
        <v>113</v>
      </c>
      <c r="B261" s="768" t="s">
        <v>2560</v>
      </c>
      <c r="C261" s="57" t="s">
        <v>2561</v>
      </c>
      <c r="D261" s="55">
        <v>64</v>
      </c>
      <c r="E261" s="53" t="s">
        <v>286</v>
      </c>
      <c r="F261" s="57"/>
      <c r="G261" s="54">
        <v>16</v>
      </c>
      <c r="H261" s="56">
        <v>16</v>
      </c>
      <c r="I261" s="56">
        <v>16</v>
      </c>
      <c r="J261" s="133">
        <v>16</v>
      </c>
    </row>
    <row r="262" spans="1:10" ht="15.75">
      <c r="A262" s="57">
        <v>114</v>
      </c>
      <c r="B262" s="766" t="s">
        <v>2562</v>
      </c>
      <c r="C262" s="57" t="s">
        <v>2563</v>
      </c>
      <c r="D262" s="55">
        <v>20</v>
      </c>
      <c r="E262" s="53" t="s">
        <v>286</v>
      </c>
      <c r="F262" s="57"/>
      <c r="G262" s="54">
        <v>5</v>
      </c>
      <c r="H262" s="56">
        <v>5</v>
      </c>
      <c r="I262" s="56">
        <v>5</v>
      </c>
      <c r="J262" s="133">
        <v>5</v>
      </c>
    </row>
    <row r="263" spans="1:10" ht="15.75">
      <c r="A263" s="57">
        <v>115</v>
      </c>
      <c r="B263" s="766" t="s">
        <v>2564</v>
      </c>
      <c r="C263" s="57" t="s">
        <v>2563</v>
      </c>
      <c r="D263" s="55">
        <v>16</v>
      </c>
      <c r="E263" s="53" t="s">
        <v>286</v>
      </c>
      <c r="F263" s="57"/>
      <c r="G263" s="54">
        <v>4</v>
      </c>
      <c r="H263" s="56">
        <v>4</v>
      </c>
      <c r="I263" s="56">
        <v>4</v>
      </c>
      <c r="J263" s="133">
        <v>4</v>
      </c>
    </row>
    <row r="264" spans="1:10" ht="15.75">
      <c r="A264" s="57">
        <v>116</v>
      </c>
      <c r="B264" s="766" t="s">
        <v>2548</v>
      </c>
      <c r="C264" s="57" t="s">
        <v>2563</v>
      </c>
      <c r="D264" s="55">
        <v>92</v>
      </c>
      <c r="E264" s="53" t="s">
        <v>286</v>
      </c>
      <c r="F264" s="57"/>
      <c r="G264" s="54">
        <v>23</v>
      </c>
      <c r="H264" s="56">
        <v>23</v>
      </c>
      <c r="I264" s="56">
        <v>23</v>
      </c>
      <c r="J264" s="133">
        <v>23</v>
      </c>
    </row>
    <row r="265" spans="1:10" ht="15.75">
      <c r="A265" s="57">
        <v>117</v>
      </c>
      <c r="B265" s="766">
        <v>986452003</v>
      </c>
      <c r="C265" s="57" t="s">
        <v>2565</v>
      </c>
      <c r="D265" s="55">
        <v>8</v>
      </c>
      <c r="E265" s="53" t="s">
        <v>286</v>
      </c>
      <c r="F265" s="57"/>
      <c r="G265" s="54">
        <v>2</v>
      </c>
      <c r="H265" s="56">
        <v>2</v>
      </c>
      <c r="I265" s="56">
        <v>2</v>
      </c>
      <c r="J265" s="133">
        <v>2</v>
      </c>
    </row>
    <row r="266" spans="1:10" ht="15.75">
      <c r="A266" s="57">
        <v>118</v>
      </c>
      <c r="B266" s="766" t="s">
        <v>2566</v>
      </c>
      <c r="C266" s="57" t="s">
        <v>2567</v>
      </c>
      <c r="D266" s="55">
        <v>40</v>
      </c>
      <c r="E266" s="53" t="s">
        <v>286</v>
      </c>
      <c r="F266" s="57"/>
      <c r="G266" s="54">
        <v>10</v>
      </c>
      <c r="H266" s="56">
        <v>10</v>
      </c>
      <c r="I266" s="56">
        <v>10</v>
      </c>
      <c r="J266" s="133">
        <v>10</v>
      </c>
    </row>
    <row r="267" spans="1:10" ht="15.75">
      <c r="A267" s="57">
        <v>119</v>
      </c>
      <c r="B267" s="766" t="s">
        <v>2568</v>
      </c>
      <c r="C267" s="57" t="s">
        <v>2569</v>
      </c>
      <c r="D267" s="55">
        <v>32</v>
      </c>
      <c r="E267" s="53" t="s">
        <v>286</v>
      </c>
      <c r="F267" s="57"/>
      <c r="G267" s="54">
        <v>8</v>
      </c>
      <c r="H267" s="56">
        <v>8</v>
      </c>
      <c r="I267" s="56">
        <v>8</v>
      </c>
      <c r="J267" s="133">
        <v>8</v>
      </c>
    </row>
    <row r="268" spans="1:10" ht="15.75">
      <c r="A268" s="57">
        <v>120</v>
      </c>
      <c r="B268" s="766" t="s">
        <v>2570</v>
      </c>
      <c r="C268" s="57" t="s">
        <v>2569</v>
      </c>
      <c r="D268" s="55">
        <v>16</v>
      </c>
      <c r="E268" s="53" t="s">
        <v>286</v>
      </c>
      <c r="F268" s="57"/>
      <c r="G268" s="54">
        <v>4</v>
      </c>
      <c r="H268" s="56">
        <v>4</v>
      </c>
      <c r="I268" s="56">
        <v>4</v>
      </c>
      <c r="J268" s="133">
        <v>4</v>
      </c>
    </row>
    <row r="269" spans="1:10" ht="15.75">
      <c r="A269" s="57">
        <v>121</v>
      </c>
      <c r="B269" s="766" t="s">
        <v>2571</v>
      </c>
      <c r="C269" s="57" t="s">
        <v>2569</v>
      </c>
      <c r="D269" s="55">
        <v>184</v>
      </c>
      <c r="E269" s="53" t="s">
        <v>286</v>
      </c>
      <c r="F269" s="57"/>
      <c r="G269" s="54">
        <v>46</v>
      </c>
      <c r="H269" s="56">
        <v>46</v>
      </c>
      <c r="I269" s="56">
        <v>46</v>
      </c>
      <c r="J269" s="133">
        <v>46</v>
      </c>
    </row>
    <row r="270" spans="1:10" ht="15.75">
      <c r="A270" s="57">
        <v>122</v>
      </c>
      <c r="B270" s="766" t="s">
        <v>2572</v>
      </c>
      <c r="C270" s="57" t="s">
        <v>2573</v>
      </c>
      <c r="D270" s="55">
        <v>16</v>
      </c>
      <c r="E270" s="53" t="s">
        <v>286</v>
      </c>
      <c r="F270" s="57"/>
      <c r="G270" s="54">
        <v>4</v>
      </c>
      <c r="H270" s="56">
        <v>4</v>
      </c>
      <c r="I270" s="56">
        <v>4</v>
      </c>
      <c r="J270" s="133">
        <v>4</v>
      </c>
    </row>
    <row r="271" spans="1:10" ht="31.5">
      <c r="A271" s="57">
        <v>123</v>
      </c>
      <c r="B271" s="766" t="s">
        <v>2574</v>
      </c>
      <c r="C271" s="57" t="s">
        <v>2575</v>
      </c>
      <c r="D271" s="55">
        <v>44</v>
      </c>
      <c r="E271" s="53" t="s">
        <v>286</v>
      </c>
      <c r="F271" s="57"/>
      <c r="G271" s="54">
        <v>10</v>
      </c>
      <c r="H271" s="56">
        <v>12</v>
      </c>
      <c r="I271" s="56">
        <v>12</v>
      </c>
      <c r="J271" s="133">
        <v>10</v>
      </c>
    </row>
    <row r="272" spans="1:10" ht="15.75">
      <c r="A272" s="57">
        <v>124</v>
      </c>
      <c r="B272" s="766" t="s">
        <v>2576</v>
      </c>
      <c r="C272" s="57" t="s">
        <v>2577</v>
      </c>
      <c r="D272" s="55">
        <v>24</v>
      </c>
      <c r="E272" s="53" t="s">
        <v>286</v>
      </c>
      <c r="F272" s="57"/>
      <c r="G272" s="54">
        <v>6</v>
      </c>
      <c r="H272" s="56">
        <v>6</v>
      </c>
      <c r="I272" s="56">
        <v>6</v>
      </c>
      <c r="J272" s="133">
        <v>6</v>
      </c>
    </row>
    <row r="273" spans="1:10" ht="15.75">
      <c r="A273" s="57">
        <v>125</v>
      </c>
      <c r="B273" s="766" t="s">
        <v>2557</v>
      </c>
      <c r="C273" s="57" t="s">
        <v>2578</v>
      </c>
      <c r="D273" s="55">
        <v>2</v>
      </c>
      <c r="E273" s="53" t="s">
        <v>286</v>
      </c>
      <c r="F273" s="57"/>
      <c r="G273" s="54"/>
      <c r="H273" s="56">
        <v>1</v>
      </c>
      <c r="I273" s="56"/>
      <c r="J273" s="133">
        <v>1</v>
      </c>
    </row>
    <row r="274" spans="1:10" ht="15.75">
      <c r="A274" s="57">
        <v>126</v>
      </c>
      <c r="B274" s="766" t="s">
        <v>2579</v>
      </c>
      <c r="C274" s="57" t="s">
        <v>2578</v>
      </c>
      <c r="D274" s="55">
        <v>4</v>
      </c>
      <c r="E274" s="53" t="s">
        <v>286</v>
      </c>
      <c r="F274" s="57"/>
      <c r="G274" s="54">
        <v>1</v>
      </c>
      <c r="H274" s="56">
        <v>1</v>
      </c>
      <c r="I274" s="56">
        <v>1</v>
      </c>
      <c r="J274" s="133">
        <v>1</v>
      </c>
    </row>
    <row r="275" spans="1:10" ht="15.75">
      <c r="A275" s="57">
        <v>127</v>
      </c>
      <c r="B275" s="766">
        <v>81084006012</v>
      </c>
      <c r="C275" s="57" t="s">
        <v>2580</v>
      </c>
      <c r="D275" s="55">
        <v>18</v>
      </c>
      <c r="E275" s="53" t="s">
        <v>286</v>
      </c>
      <c r="F275" s="57"/>
      <c r="G275" s="54">
        <v>4</v>
      </c>
      <c r="H275" s="56">
        <v>5</v>
      </c>
      <c r="I275" s="56">
        <v>5</v>
      </c>
      <c r="J275" s="133">
        <v>4</v>
      </c>
    </row>
    <row r="276" spans="1:10" ht="15.75">
      <c r="A276" s="57">
        <v>128</v>
      </c>
      <c r="B276" s="766" t="s">
        <v>2581</v>
      </c>
      <c r="C276" s="57" t="s">
        <v>2582</v>
      </c>
      <c r="D276" s="55">
        <v>8</v>
      </c>
      <c r="E276" s="53" t="s">
        <v>286</v>
      </c>
      <c r="F276" s="57"/>
      <c r="G276" s="54">
        <v>2</v>
      </c>
      <c r="H276" s="56">
        <v>2</v>
      </c>
      <c r="I276" s="56">
        <v>2</v>
      </c>
      <c r="J276" s="133">
        <v>2</v>
      </c>
    </row>
    <row r="277" spans="1:10" ht="15.75">
      <c r="A277" s="57">
        <v>129</v>
      </c>
      <c r="B277" s="766" t="s">
        <v>2548</v>
      </c>
      <c r="C277" s="57" t="s">
        <v>2583</v>
      </c>
      <c r="D277" s="55">
        <v>16</v>
      </c>
      <c r="E277" s="53" t="s">
        <v>286</v>
      </c>
      <c r="F277" s="57"/>
      <c r="G277" s="54">
        <v>4</v>
      </c>
      <c r="H277" s="56">
        <v>4</v>
      </c>
      <c r="I277" s="56">
        <v>4</v>
      </c>
      <c r="J277" s="133">
        <v>4</v>
      </c>
    </row>
    <row r="278" spans="1:10" ht="15.75">
      <c r="A278" s="57">
        <v>130</v>
      </c>
      <c r="B278" s="766" t="s">
        <v>2584</v>
      </c>
      <c r="C278" s="57" t="s">
        <v>2582</v>
      </c>
      <c r="D278" s="55">
        <v>4</v>
      </c>
      <c r="E278" s="53" t="s">
        <v>286</v>
      </c>
      <c r="F278" s="57"/>
      <c r="G278" s="54">
        <v>1</v>
      </c>
      <c r="H278" s="56">
        <v>1</v>
      </c>
      <c r="I278" s="56">
        <v>1</v>
      </c>
      <c r="J278" s="133">
        <v>1</v>
      </c>
    </row>
    <row r="279" spans="1:10" ht="15.75">
      <c r="A279" s="57">
        <v>131</v>
      </c>
      <c r="B279" s="766" t="s">
        <v>2585</v>
      </c>
      <c r="C279" s="57" t="s">
        <v>2586</v>
      </c>
      <c r="D279" s="55">
        <v>16</v>
      </c>
      <c r="E279" s="53" t="s">
        <v>286</v>
      </c>
      <c r="F279" s="57"/>
      <c r="G279" s="54">
        <v>4</v>
      </c>
      <c r="H279" s="56">
        <v>4</v>
      </c>
      <c r="I279" s="56">
        <v>4</v>
      </c>
      <c r="J279" s="133">
        <v>4</v>
      </c>
    </row>
    <row r="280" spans="1:10" ht="15.75">
      <c r="A280" s="57">
        <v>132</v>
      </c>
      <c r="B280" s="766" t="s">
        <v>2587</v>
      </c>
      <c r="C280" s="57" t="s">
        <v>2588</v>
      </c>
      <c r="D280" s="55">
        <v>8</v>
      </c>
      <c r="E280" s="53" t="s">
        <v>286</v>
      </c>
      <c r="F280" s="57"/>
      <c r="G280" s="54">
        <v>2</v>
      </c>
      <c r="H280" s="56">
        <v>2</v>
      </c>
      <c r="I280" s="56">
        <v>2</v>
      </c>
      <c r="J280" s="133">
        <v>2</v>
      </c>
    </row>
    <row r="281" spans="1:10" ht="15.75">
      <c r="A281" s="57">
        <v>133</v>
      </c>
      <c r="B281" s="766">
        <v>81084050017</v>
      </c>
      <c r="C281" s="57" t="s">
        <v>2589</v>
      </c>
      <c r="D281" s="55">
        <v>10</v>
      </c>
      <c r="E281" s="53" t="s">
        <v>286</v>
      </c>
      <c r="F281" s="57"/>
      <c r="G281" s="54">
        <v>3</v>
      </c>
      <c r="H281" s="56">
        <v>2</v>
      </c>
      <c r="I281" s="56">
        <v>3</v>
      </c>
      <c r="J281" s="133">
        <v>2</v>
      </c>
    </row>
    <row r="282" spans="1:10" ht="15.75">
      <c r="A282" s="57">
        <v>134</v>
      </c>
      <c r="B282" s="766">
        <v>84559022</v>
      </c>
      <c r="C282" s="57" t="s">
        <v>2590</v>
      </c>
      <c r="D282" s="55">
        <v>16</v>
      </c>
      <c r="E282" s="53" t="s">
        <v>286</v>
      </c>
      <c r="F282" s="57"/>
      <c r="G282" s="54">
        <v>4</v>
      </c>
      <c r="H282" s="56">
        <v>4</v>
      </c>
      <c r="I282" s="56">
        <v>4</v>
      </c>
      <c r="J282" s="133">
        <v>4</v>
      </c>
    </row>
    <row r="283" spans="1:10" ht="15.75">
      <c r="A283" s="57">
        <v>135</v>
      </c>
      <c r="B283" s="766" t="s">
        <v>2591</v>
      </c>
      <c r="C283" s="57" t="s">
        <v>2592</v>
      </c>
      <c r="D283" s="55">
        <v>4</v>
      </c>
      <c r="E283" s="53" t="s">
        <v>286</v>
      </c>
      <c r="F283" s="57"/>
      <c r="G283" s="54">
        <v>1</v>
      </c>
      <c r="H283" s="56">
        <v>1</v>
      </c>
      <c r="I283" s="56">
        <v>1</v>
      </c>
      <c r="J283" s="133">
        <v>1</v>
      </c>
    </row>
    <row r="284" spans="1:10" ht="15.75">
      <c r="A284" s="57">
        <v>136</v>
      </c>
      <c r="B284" s="766">
        <v>19256042</v>
      </c>
      <c r="C284" s="57" t="s">
        <v>2593</v>
      </c>
      <c r="D284" s="55">
        <v>24</v>
      </c>
      <c r="E284" s="53" t="s">
        <v>286</v>
      </c>
      <c r="F284" s="57"/>
      <c r="G284" s="54">
        <v>6</v>
      </c>
      <c r="H284" s="56">
        <v>6</v>
      </c>
      <c r="I284" s="56">
        <v>6</v>
      </c>
      <c r="J284" s="133">
        <v>6</v>
      </c>
    </row>
    <row r="285" spans="1:10" ht="15.75">
      <c r="A285" s="57">
        <v>137</v>
      </c>
      <c r="B285" s="766" t="s">
        <v>2594</v>
      </c>
      <c r="C285" s="57" t="s">
        <v>2595</v>
      </c>
      <c r="D285" s="55">
        <v>20</v>
      </c>
      <c r="E285" s="53" t="s">
        <v>286</v>
      </c>
      <c r="F285" s="57"/>
      <c r="G285" s="54">
        <v>5</v>
      </c>
      <c r="H285" s="56">
        <v>5</v>
      </c>
      <c r="I285" s="56">
        <v>5</v>
      </c>
      <c r="J285" s="133">
        <v>5</v>
      </c>
    </row>
    <row r="286" spans="1:10" ht="15.75">
      <c r="A286" s="57">
        <v>138</v>
      </c>
      <c r="B286" s="766">
        <v>1457433003</v>
      </c>
      <c r="C286" s="57" t="s">
        <v>2596</v>
      </c>
      <c r="D286" s="55">
        <v>20</v>
      </c>
      <c r="E286" s="53" t="s">
        <v>286</v>
      </c>
      <c r="F286" s="57"/>
      <c r="G286" s="54">
        <v>5</v>
      </c>
      <c r="H286" s="56">
        <v>5</v>
      </c>
      <c r="I286" s="56">
        <v>5</v>
      </c>
      <c r="J286" s="133">
        <v>5</v>
      </c>
    </row>
    <row r="287" spans="1:10" ht="15.75">
      <c r="A287" s="57">
        <v>139</v>
      </c>
      <c r="B287" s="766" t="s">
        <v>2597</v>
      </c>
      <c r="C287" s="57" t="s">
        <v>2598</v>
      </c>
      <c r="D287" s="55">
        <v>16</v>
      </c>
      <c r="E287" s="53" t="s">
        <v>286</v>
      </c>
      <c r="F287" s="57"/>
      <c r="G287" s="54">
        <v>4</v>
      </c>
      <c r="H287" s="56">
        <v>4</v>
      </c>
      <c r="I287" s="56">
        <v>4</v>
      </c>
      <c r="J287" s="133">
        <v>4</v>
      </c>
    </row>
    <row r="288" spans="1:10" ht="15.75">
      <c r="A288" s="57">
        <v>140</v>
      </c>
      <c r="B288" s="766">
        <v>96130396</v>
      </c>
      <c r="C288" s="57" t="s">
        <v>2599</v>
      </c>
      <c r="D288" s="55">
        <v>16</v>
      </c>
      <c r="E288" s="53" t="s">
        <v>286</v>
      </c>
      <c r="F288" s="57"/>
      <c r="G288" s="54">
        <v>4</v>
      </c>
      <c r="H288" s="56">
        <v>4</v>
      </c>
      <c r="I288" s="56">
        <v>4</v>
      </c>
      <c r="J288" s="133">
        <v>4</v>
      </c>
    </row>
    <row r="289" spans="1:10" ht="15.75">
      <c r="A289" s="57">
        <v>141</v>
      </c>
      <c r="B289" s="766">
        <v>92060868</v>
      </c>
      <c r="C289" s="57" t="s">
        <v>2600</v>
      </c>
      <c r="D289" s="55">
        <v>12</v>
      </c>
      <c r="E289" s="53" t="s">
        <v>286</v>
      </c>
      <c r="F289" s="57"/>
      <c r="G289" s="54">
        <v>2</v>
      </c>
      <c r="H289" s="56">
        <v>4</v>
      </c>
      <c r="I289" s="56">
        <v>4</v>
      </c>
      <c r="J289" s="133">
        <v>2</v>
      </c>
    </row>
    <row r="290" spans="1:10" ht="15.75">
      <c r="A290" s="57">
        <v>142</v>
      </c>
      <c r="B290" s="766" t="s">
        <v>2601</v>
      </c>
      <c r="C290" s="57" t="s">
        <v>2602</v>
      </c>
      <c r="D290" s="55">
        <v>12</v>
      </c>
      <c r="E290" s="53" t="s">
        <v>286</v>
      </c>
      <c r="F290" s="57"/>
      <c r="G290" s="54">
        <v>3</v>
      </c>
      <c r="H290" s="56">
        <v>3</v>
      </c>
      <c r="I290" s="56">
        <v>3</v>
      </c>
      <c r="J290" s="133">
        <v>3</v>
      </c>
    </row>
    <row r="291" spans="1:10" ht="15.75">
      <c r="A291" s="57">
        <v>143</v>
      </c>
      <c r="B291" s="766">
        <v>96335719</v>
      </c>
      <c r="C291" s="57" t="s">
        <v>2603</v>
      </c>
      <c r="D291" s="55">
        <v>12</v>
      </c>
      <c r="E291" s="53" t="s">
        <v>286</v>
      </c>
      <c r="F291" s="57"/>
      <c r="G291" s="54">
        <v>3</v>
      </c>
      <c r="H291" s="56">
        <v>3</v>
      </c>
      <c r="I291" s="56">
        <v>3</v>
      </c>
      <c r="J291" s="133">
        <v>3</v>
      </c>
    </row>
    <row r="292" spans="1:10" ht="15.75">
      <c r="A292" s="57">
        <v>144</v>
      </c>
      <c r="B292" s="766" t="s">
        <v>2604</v>
      </c>
      <c r="C292" s="57" t="s">
        <v>2605</v>
      </c>
      <c r="D292" s="55">
        <v>8</v>
      </c>
      <c r="E292" s="53" t="s">
        <v>286</v>
      </c>
      <c r="F292" s="57"/>
      <c r="G292" s="54">
        <v>2</v>
      </c>
      <c r="H292" s="56">
        <v>2</v>
      </c>
      <c r="I292" s="56">
        <v>2</v>
      </c>
      <c r="J292" s="133">
        <v>2</v>
      </c>
    </row>
    <row r="293" spans="1:10" ht="15.75">
      <c r="A293" s="57">
        <v>145</v>
      </c>
      <c r="B293" s="766" t="s">
        <v>2606</v>
      </c>
      <c r="C293" s="57" t="s">
        <v>2607</v>
      </c>
      <c r="D293" s="55">
        <v>16</v>
      </c>
      <c r="E293" s="53" t="s">
        <v>286</v>
      </c>
      <c r="F293" s="57"/>
      <c r="G293" s="54">
        <v>4</v>
      </c>
      <c r="H293" s="56">
        <v>4</v>
      </c>
      <c r="I293" s="56">
        <v>4</v>
      </c>
      <c r="J293" s="133">
        <v>4</v>
      </c>
    </row>
    <row r="294" spans="1:10" ht="15.75">
      <c r="A294" s="57">
        <v>146</v>
      </c>
      <c r="B294" s="766" t="s">
        <v>2608</v>
      </c>
      <c r="C294" s="57" t="s">
        <v>2609</v>
      </c>
      <c r="D294" s="55">
        <v>32</v>
      </c>
      <c r="E294" s="53" t="s">
        <v>286</v>
      </c>
      <c r="F294" s="57"/>
      <c r="G294" s="54">
        <v>8</v>
      </c>
      <c r="H294" s="56">
        <v>8</v>
      </c>
      <c r="I294" s="56">
        <v>8</v>
      </c>
      <c r="J294" s="133">
        <v>8</v>
      </c>
    </row>
    <row r="295" spans="1:10" ht="15.75">
      <c r="A295" s="57">
        <v>147</v>
      </c>
      <c r="B295" s="766" t="s">
        <v>2610</v>
      </c>
      <c r="C295" s="57" t="s">
        <v>2611</v>
      </c>
      <c r="D295" s="55">
        <v>8</v>
      </c>
      <c r="E295" s="53" t="s">
        <v>286</v>
      </c>
      <c r="F295" s="57"/>
      <c r="G295" s="54">
        <v>2</v>
      </c>
      <c r="H295" s="56">
        <v>2</v>
      </c>
      <c r="I295" s="56">
        <v>2</v>
      </c>
      <c r="J295" s="133">
        <v>2</v>
      </c>
    </row>
    <row r="296" spans="1:10" ht="15.75">
      <c r="A296" s="57">
        <v>148</v>
      </c>
      <c r="B296" s="766" t="s">
        <v>2612</v>
      </c>
      <c r="C296" s="57" t="s">
        <v>2613</v>
      </c>
      <c r="D296" s="55">
        <v>154</v>
      </c>
      <c r="E296" s="53" t="s">
        <v>286</v>
      </c>
      <c r="F296" s="57"/>
      <c r="G296" s="54">
        <v>38</v>
      </c>
      <c r="H296" s="56">
        <v>39</v>
      </c>
      <c r="I296" s="56">
        <v>39</v>
      </c>
      <c r="J296" s="133">
        <v>38</v>
      </c>
    </row>
    <row r="297" spans="1:10" ht="15.75">
      <c r="A297" s="57">
        <v>149</v>
      </c>
      <c r="B297" s="766" t="s">
        <v>2614</v>
      </c>
      <c r="C297" s="57" t="s">
        <v>2615</v>
      </c>
      <c r="D297" s="55">
        <v>256</v>
      </c>
      <c r="E297" s="53" t="s">
        <v>286</v>
      </c>
      <c r="F297" s="57"/>
      <c r="G297" s="54">
        <v>64</v>
      </c>
      <c r="H297" s="56">
        <v>64</v>
      </c>
      <c r="I297" s="56">
        <v>64</v>
      </c>
      <c r="J297" s="133">
        <v>64</v>
      </c>
    </row>
    <row r="298" spans="1:10" ht="15.75">
      <c r="A298" s="57">
        <v>150</v>
      </c>
      <c r="B298" s="766" t="s">
        <v>2532</v>
      </c>
      <c r="C298" s="57" t="s">
        <v>2616</v>
      </c>
      <c r="D298" s="55">
        <v>80</v>
      </c>
      <c r="E298" s="53" t="s">
        <v>286</v>
      </c>
      <c r="F298" s="57"/>
      <c r="G298" s="54">
        <v>21</v>
      </c>
      <c r="H298" s="56">
        <v>21</v>
      </c>
      <c r="I298" s="56">
        <v>19</v>
      </c>
      <c r="J298" s="133">
        <v>19</v>
      </c>
    </row>
    <row r="299" spans="1:10" ht="15.75">
      <c r="A299" s="57">
        <v>151</v>
      </c>
      <c r="B299" s="766" t="s">
        <v>2617</v>
      </c>
      <c r="C299" s="57" t="s">
        <v>2618</v>
      </c>
      <c r="D299" s="55">
        <v>42</v>
      </c>
      <c r="E299" s="53" t="s">
        <v>286</v>
      </c>
      <c r="F299" s="57"/>
      <c r="G299" s="54">
        <v>11</v>
      </c>
      <c r="H299" s="56">
        <v>10</v>
      </c>
      <c r="I299" s="56">
        <v>11</v>
      </c>
      <c r="J299" s="133">
        <v>10</v>
      </c>
    </row>
    <row r="300" spans="1:10" ht="15.75">
      <c r="A300" s="57">
        <v>152</v>
      </c>
      <c r="B300" s="766" t="s">
        <v>2619</v>
      </c>
      <c r="C300" s="57" t="s">
        <v>2620</v>
      </c>
      <c r="D300" s="55">
        <v>124</v>
      </c>
      <c r="E300" s="53" t="s">
        <v>286</v>
      </c>
      <c r="F300" s="57"/>
      <c r="G300" s="54">
        <v>32</v>
      </c>
      <c r="H300" s="56">
        <v>30</v>
      </c>
      <c r="I300" s="56">
        <v>32</v>
      </c>
      <c r="J300" s="133">
        <v>30</v>
      </c>
    </row>
    <row r="301" spans="1:10" ht="15.75">
      <c r="A301" s="57">
        <v>153</v>
      </c>
      <c r="B301" s="766" t="s">
        <v>2621</v>
      </c>
      <c r="C301" s="57" t="s">
        <v>2622</v>
      </c>
      <c r="D301" s="55">
        <v>40</v>
      </c>
      <c r="E301" s="53" t="s">
        <v>286</v>
      </c>
      <c r="F301" s="57"/>
      <c r="G301" s="54">
        <v>10</v>
      </c>
      <c r="H301" s="56">
        <v>10</v>
      </c>
      <c r="I301" s="56">
        <v>10</v>
      </c>
      <c r="J301" s="133">
        <v>10</v>
      </c>
    </row>
    <row r="302" spans="1:10" ht="15.75">
      <c r="A302" s="57">
        <v>154</v>
      </c>
      <c r="B302" s="766" t="s">
        <v>2623</v>
      </c>
      <c r="C302" s="57" t="s">
        <v>2624</v>
      </c>
      <c r="D302" s="55">
        <v>32</v>
      </c>
      <c r="E302" s="53" t="s">
        <v>286</v>
      </c>
      <c r="F302" s="57"/>
      <c r="G302" s="54">
        <v>8</v>
      </c>
      <c r="H302" s="56">
        <v>8</v>
      </c>
      <c r="I302" s="56">
        <v>8</v>
      </c>
      <c r="J302" s="133">
        <v>8</v>
      </c>
    </row>
    <row r="303" spans="1:10" ht="15.75">
      <c r="A303" s="57">
        <v>155</v>
      </c>
      <c r="B303" s="766" t="s">
        <v>2625</v>
      </c>
      <c r="C303" s="57" t="s">
        <v>2626</v>
      </c>
      <c r="D303" s="55">
        <v>16</v>
      </c>
      <c r="E303" s="53" t="s">
        <v>286</v>
      </c>
      <c r="F303" s="57"/>
      <c r="G303" s="54">
        <v>4</v>
      </c>
      <c r="H303" s="56">
        <v>4</v>
      </c>
      <c r="I303" s="56">
        <v>4</v>
      </c>
      <c r="J303" s="133">
        <v>4</v>
      </c>
    </row>
    <row r="304" spans="1:10" ht="15.75">
      <c r="A304" s="57">
        <v>156</v>
      </c>
      <c r="B304" s="766" t="s">
        <v>2627</v>
      </c>
      <c r="C304" s="57" t="s">
        <v>2628</v>
      </c>
      <c r="D304" s="55">
        <v>8</v>
      </c>
      <c r="E304" s="53" t="s">
        <v>286</v>
      </c>
      <c r="F304" s="57"/>
      <c r="G304" s="54">
        <v>2</v>
      </c>
      <c r="H304" s="56">
        <v>2</v>
      </c>
      <c r="I304" s="56">
        <v>2</v>
      </c>
      <c r="J304" s="133">
        <v>2</v>
      </c>
    </row>
    <row r="305" spans="1:10" ht="15.75">
      <c r="A305" s="57">
        <v>157</v>
      </c>
      <c r="B305" s="766" t="s">
        <v>2629</v>
      </c>
      <c r="C305" s="57" t="s">
        <v>2630</v>
      </c>
      <c r="D305" s="55">
        <v>16</v>
      </c>
      <c r="E305" s="53" t="s">
        <v>286</v>
      </c>
      <c r="F305" s="57"/>
      <c r="G305" s="54">
        <v>4</v>
      </c>
      <c r="H305" s="56">
        <v>4</v>
      </c>
      <c r="I305" s="56">
        <v>4</v>
      </c>
      <c r="J305" s="133">
        <v>4</v>
      </c>
    </row>
    <row r="306" spans="1:10" ht="15.75">
      <c r="A306" s="57">
        <v>158</v>
      </c>
      <c r="B306" s="766" t="s">
        <v>2631</v>
      </c>
      <c r="C306" s="57" t="s">
        <v>2632</v>
      </c>
      <c r="D306" s="55">
        <v>8</v>
      </c>
      <c r="E306" s="53" t="s">
        <v>286</v>
      </c>
      <c r="F306" s="57"/>
      <c r="G306" s="54">
        <v>2</v>
      </c>
      <c r="H306" s="56">
        <v>2</v>
      </c>
      <c r="I306" s="56">
        <v>2</v>
      </c>
      <c r="J306" s="133">
        <v>2</v>
      </c>
    </row>
    <row r="307" spans="1:10" ht="15.75">
      <c r="A307" s="57">
        <v>159</v>
      </c>
      <c r="B307" s="766" t="s">
        <v>2633</v>
      </c>
      <c r="C307" s="57" t="s">
        <v>2634</v>
      </c>
      <c r="D307" s="55">
        <v>50</v>
      </c>
      <c r="E307" s="53" t="s">
        <v>286</v>
      </c>
      <c r="F307" s="57"/>
      <c r="G307" s="54">
        <v>12</v>
      </c>
      <c r="H307" s="56">
        <v>13</v>
      </c>
      <c r="I307" s="56">
        <v>13</v>
      </c>
      <c r="J307" s="133">
        <v>12</v>
      </c>
    </row>
    <row r="308" spans="1:10" ht="15.75">
      <c r="A308" s="57">
        <v>160</v>
      </c>
      <c r="B308" s="766" t="s">
        <v>2635</v>
      </c>
      <c r="C308" s="57" t="s">
        <v>2636</v>
      </c>
      <c r="D308" s="55">
        <v>112</v>
      </c>
      <c r="E308" s="53" t="s">
        <v>286</v>
      </c>
      <c r="F308" s="57"/>
      <c r="G308" s="54">
        <v>28</v>
      </c>
      <c r="H308" s="56">
        <v>28</v>
      </c>
      <c r="I308" s="56">
        <v>28</v>
      </c>
      <c r="J308" s="133">
        <v>28</v>
      </c>
    </row>
    <row r="309" spans="1:10" ht="15.75">
      <c r="A309" s="57">
        <v>161</v>
      </c>
      <c r="B309" s="766" t="s">
        <v>2637</v>
      </c>
      <c r="C309" s="57" t="s">
        <v>2638</v>
      </c>
      <c r="D309" s="55">
        <v>44</v>
      </c>
      <c r="E309" s="53" t="s">
        <v>286</v>
      </c>
      <c r="F309" s="57"/>
      <c r="G309" s="54">
        <v>11</v>
      </c>
      <c r="H309" s="56">
        <v>11</v>
      </c>
      <c r="I309" s="56">
        <v>11</v>
      </c>
      <c r="J309" s="133">
        <v>11</v>
      </c>
    </row>
    <row r="310" spans="1:10" ht="15.75">
      <c r="A310" s="57">
        <v>162</v>
      </c>
      <c r="B310" s="766" t="s">
        <v>2639</v>
      </c>
      <c r="C310" s="57" t="s">
        <v>2640</v>
      </c>
      <c r="D310" s="55">
        <v>18</v>
      </c>
      <c r="E310" s="53" t="s">
        <v>286</v>
      </c>
      <c r="F310" s="57"/>
      <c r="G310" s="54">
        <v>4</v>
      </c>
      <c r="H310" s="56">
        <v>5</v>
      </c>
      <c r="I310" s="56">
        <v>5</v>
      </c>
      <c r="J310" s="133">
        <v>4</v>
      </c>
    </row>
    <row r="311" spans="1:10" ht="15.75">
      <c r="A311" s="57">
        <v>163</v>
      </c>
      <c r="B311" s="766" t="s">
        <v>2641</v>
      </c>
      <c r="C311" s="57" t="s">
        <v>2642</v>
      </c>
      <c r="D311" s="55">
        <v>28</v>
      </c>
      <c r="E311" s="53" t="s">
        <v>286</v>
      </c>
      <c r="F311" s="57"/>
      <c r="G311" s="54">
        <v>7</v>
      </c>
      <c r="H311" s="56">
        <v>7</v>
      </c>
      <c r="I311" s="56">
        <v>7</v>
      </c>
      <c r="J311" s="133">
        <v>7</v>
      </c>
    </row>
    <row r="312" spans="1:10" ht="15.75">
      <c r="A312" s="57">
        <v>164</v>
      </c>
      <c r="B312" s="766" t="s">
        <v>2643</v>
      </c>
      <c r="C312" s="57" t="s">
        <v>2644</v>
      </c>
      <c r="D312" s="55">
        <v>16</v>
      </c>
      <c r="E312" s="53" t="s">
        <v>286</v>
      </c>
      <c r="F312" s="57"/>
      <c r="G312" s="54">
        <v>4</v>
      </c>
      <c r="H312" s="56">
        <v>4</v>
      </c>
      <c r="I312" s="56">
        <v>4</v>
      </c>
      <c r="J312" s="133">
        <v>4</v>
      </c>
    </row>
    <row r="313" spans="1:10" ht="15.75">
      <c r="A313" s="57">
        <v>165</v>
      </c>
      <c r="B313" s="766" t="s">
        <v>2645</v>
      </c>
      <c r="C313" s="57" t="s">
        <v>2646</v>
      </c>
      <c r="D313" s="55">
        <v>16</v>
      </c>
      <c r="E313" s="53" t="s">
        <v>286</v>
      </c>
      <c r="F313" s="57"/>
      <c r="G313" s="54">
        <v>4</v>
      </c>
      <c r="H313" s="56">
        <v>4</v>
      </c>
      <c r="I313" s="56">
        <v>4</v>
      </c>
      <c r="J313" s="133">
        <v>4</v>
      </c>
    </row>
    <row r="314" spans="1:10" ht="15.75">
      <c r="A314" s="57">
        <v>166</v>
      </c>
      <c r="B314" s="766" t="s">
        <v>2471</v>
      </c>
      <c r="C314" s="57" t="s">
        <v>2647</v>
      </c>
      <c r="D314" s="55">
        <v>16</v>
      </c>
      <c r="E314" s="53" t="s">
        <v>286</v>
      </c>
      <c r="F314" s="57"/>
      <c r="G314" s="54">
        <v>4</v>
      </c>
      <c r="H314" s="56">
        <v>4</v>
      </c>
      <c r="I314" s="56">
        <v>4</v>
      </c>
      <c r="J314" s="133">
        <v>4</v>
      </c>
    </row>
    <row r="315" spans="1:10" ht="15.75">
      <c r="A315" s="57">
        <v>167</v>
      </c>
      <c r="B315" s="766" t="s">
        <v>2648</v>
      </c>
      <c r="C315" s="57" t="s">
        <v>2649</v>
      </c>
      <c r="D315" s="55">
        <v>16</v>
      </c>
      <c r="E315" s="53" t="s">
        <v>286</v>
      </c>
      <c r="F315" s="57"/>
      <c r="G315" s="54">
        <v>4</v>
      </c>
      <c r="H315" s="56">
        <v>4</v>
      </c>
      <c r="I315" s="56">
        <v>4</v>
      </c>
      <c r="J315" s="133">
        <v>4</v>
      </c>
    </row>
    <row r="316" spans="1:10" ht="15.75">
      <c r="A316" s="57">
        <v>168</v>
      </c>
      <c r="B316" s="766" t="s">
        <v>2650</v>
      </c>
      <c r="C316" s="57" t="s">
        <v>2651</v>
      </c>
      <c r="D316" s="55">
        <v>4</v>
      </c>
      <c r="E316" s="53" t="s">
        <v>286</v>
      </c>
      <c r="F316" s="57"/>
      <c r="G316" s="54">
        <v>1</v>
      </c>
      <c r="H316" s="56">
        <v>1</v>
      </c>
      <c r="I316" s="56">
        <v>1</v>
      </c>
      <c r="J316" s="133">
        <v>1</v>
      </c>
    </row>
    <row r="317" spans="1:10" ht="15.75">
      <c r="A317" s="57">
        <v>169</v>
      </c>
      <c r="B317" s="766" t="s">
        <v>2652</v>
      </c>
      <c r="C317" s="57" t="s">
        <v>2653</v>
      </c>
      <c r="D317" s="55">
        <v>8</v>
      </c>
      <c r="E317" s="53" t="s">
        <v>286</v>
      </c>
      <c r="F317" s="57"/>
      <c r="G317" s="54">
        <v>2</v>
      </c>
      <c r="H317" s="56">
        <v>2</v>
      </c>
      <c r="I317" s="56">
        <v>2</v>
      </c>
      <c r="J317" s="133">
        <v>2</v>
      </c>
    </row>
    <row r="318" spans="1:10" ht="15.75">
      <c r="A318" s="57">
        <v>170</v>
      </c>
      <c r="B318" s="766" t="s">
        <v>2654</v>
      </c>
      <c r="C318" s="57" t="s">
        <v>2655</v>
      </c>
      <c r="D318" s="55">
        <v>8</v>
      </c>
      <c r="E318" s="53" t="s">
        <v>286</v>
      </c>
      <c r="F318" s="57"/>
      <c r="G318" s="54">
        <v>2</v>
      </c>
      <c r="H318" s="56">
        <v>2</v>
      </c>
      <c r="I318" s="56">
        <v>2</v>
      </c>
      <c r="J318" s="133">
        <v>2</v>
      </c>
    </row>
    <row r="319" spans="1:10" ht="15.75">
      <c r="A319" s="57">
        <v>171</v>
      </c>
      <c r="B319" s="766" t="s">
        <v>2656</v>
      </c>
      <c r="C319" s="57" t="s">
        <v>2657</v>
      </c>
      <c r="D319" s="55">
        <v>8</v>
      </c>
      <c r="E319" s="53" t="s">
        <v>286</v>
      </c>
      <c r="F319" s="57"/>
      <c r="G319" s="54">
        <v>3</v>
      </c>
      <c r="H319" s="56">
        <v>1</v>
      </c>
      <c r="I319" s="56">
        <v>3</v>
      </c>
      <c r="J319" s="133">
        <v>1</v>
      </c>
    </row>
    <row r="320" spans="1:10" ht="15.75">
      <c r="A320" s="57">
        <v>172</v>
      </c>
      <c r="B320" s="766" t="s">
        <v>2658</v>
      </c>
      <c r="C320" s="57" t="s">
        <v>2659</v>
      </c>
      <c r="D320" s="55">
        <v>4</v>
      </c>
      <c r="E320" s="53" t="s">
        <v>286</v>
      </c>
      <c r="F320" s="57"/>
      <c r="G320" s="54">
        <v>1</v>
      </c>
      <c r="H320" s="56">
        <v>1</v>
      </c>
      <c r="I320" s="56">
        <v>1</v>
      </c>
      <c r="J320" s="133">
        <v>1</v>
      </c>
    </row>
    <row r="321" spans="1:10" ht="15.75">
      <c r="A321" s="57">
        <v>173</v>
      </c>
      <c r="B321" s="766" t="s">
        <v>2660</v>
      </c>
      <c r="C321" s="57" t="s">
        <v>2661</v>
      </c>
      <c r="D321" s="55">
        <v>8</v>
      </c>
      <c r="E321" s="53" t="s">
        <v>286</v>
      </c>
      <c r="F321" s="57"/>
      <c r="G321" s="54">
        <v>2</v>
      </c>
      <c r="H321" s="56">
        <v>2</v>
      </c>
      <c r="I321" s="56">
        <v>2</v>
      </c>
      <c r="J321" s="133">
        <v>2</v>
      </c>
    </row>
    <row r="322" spans="1:10" ht="15.75">
      <c r="A322" s="57">
        <v>174</v>
      </c>
      <c r="B322" s="766" t="s">
        <v>2662</v>
      </c>
      <c r="C322" s="57" t="s">
        <v>2663</v>
      </c>
      <c r="D322" s="55">
        <v>4</v>
      </c>
      <c r="E322" s="53" t="s">
        <v>286</v>
      </c>
      <c r="F322" s="57"/>
      <c r="G322" s="54">
        <v>1</v>
      </c>
      <c r="H322" s="56">
        <v>1</v>
      </c>
      <c r="I322" s="56">
        <v>1</v>
      </c>
      <c r="J322" s="133">
        <v>1</v>
      </c>
    </row>
    <row r="323" spans="1:10" ht="15.75">
      <c r="A323" s="57">
        <v>175</v>
      </c>
      <c r="B323" s="766" t="s">
        <v>2664</v>
      </c>
      <c r="C323" s="57" t="s">
        <v>2665</v>
      </c>
      <c r="D323" s="55">
        <v>8</v>
      </c>
      <c r="E323" s="53" t="s">
        <v>286</v>
      </c>
      <c r="F323" s="57"/>
      <c r="G323" s="54">
        <v>3</v>
      </c>
      <c r="H323" s="56">
        <v>1</v>
      </c>
      <c r="I323" s="56">
        <v>3</v>
      </c>
      <c r="J323" s="133">
        <v>1</v>
      </c>
    </row>
    <row r="324" spans="1:10" ht="15.75">
      <c r="A324" s="57">
        <v>176</v>
      </c>
      <c r="B324" s="766" t="s">
        <v>2666</v>
      </c>
      <c r="C324" s="57" t="s">
        <v>2667</v>
      </c>
      <c r="D324" s="55">
        <v>4</v>
      </c>
      <c r="E324" s="53" t="s">
        <v>286</v>
      </c>
      <c r="F324" s="57"/>
      <c r="G324" s="54">
        <v>1</v>
      </c>
      <c r="H324" s="56">
        <v>1</v>
      </c>
      <c r="I324" s="56">
        <v>1</v>
      </c>
      <c r="J324" s="133">
        <v>1</v>
      </c>
    </row>
    <row r="325" spans="1:10" ht="15.75">
      <c r="A325" s="57">
        <v>177</v>
      </c>
      <c r="B325" s="766">
        <v>4301</v>
      </c>
      <c r="C325" s="57" t="s">
        <v>2668</v>
      </c>
      <c r="D325" s="55">
        <v>4</v>
      </c>
      <c r="E325" s="53" t="s">
        <v>286</v>
      </c>
      <c r="F325" s="57"/>
      <c r="G325" s="54">
        <v>1</v>
      </c>
      <c r="H325" s="56">
        <v>1</v>
      </c>
      <c r="I325" s="56">
        <v>1</v>
      </c>
      <c r="J325" s="133">
        <v>1</v>
      </c>
    </row>
    <row r="326" spans="1:10" ht="15.75">
      <c r="A326" s="57">
        <v>178</v>
      </c>
      <c r="B326" s="766" t="s">
        <v>2669</v>
      </c>
      <c r="C326" s="57" t="s">
        <v>2670</v>
      </c>
      <c r="D326" s="55">
        <v>8</v>
      </c>
      <c r="E326" s="53" t="s">
        <v>286</v>
      </c>
      <c r="F326" s="57"/>
      <c r="G326" s="54">
        <v>3</v>
      </c>
      <c r="H326" s="56">
        <v>1</v>
      </c>
      <c r="I326" s="56">
        <v>3</v>
      </c>
      <c r="J326" s="133">
        <v>1</v>
      </c>
    </row>
    <row r="327" spans="1:10" ht="15.75">
      <c r="A327" s="57">
        <v>179</v>
      </c>
      <c r="B327" s="766">
        <v>25183779</v>
      </c>
      <c r="C327" s="57" t="s">
        <v>2671</v>
      </c>
      <c r="D327" s="55">
        <v>160</v>
      </c>
      <c r="E327" s="53" t="s">
        <v>286</v>
      </c>
      <c r="F327" s="57"/>
      <c r="G327" s="54">
        <v>40</v>
      </c>
      <c r="H327" s="56">
        <v>40</v>
      </c>
      <c r="I327" s="56">
        <v>40</v>
      </c>
      <c r="J327" s="133">
        <v>40</v>
      </c>
    </row>
    <row r="328" spans="1:10" ht="15.75">
      <c r="A328" s="57">
        <v>180</v>
      </c>
      <c r="B328" s="766" t="s">
        <v>2672</v>
      </c>
      <c r="C328" s="57" t="s">
        <v>2673</v>
      </c>
      <c r="D328" s="55">
        <v>160</v>
      </c>
      <c r="E328" s="53" t="s">
        <v>286</v>
      </c>
      <c r="F328" s="57"/>
      <c r="G328" s="54">
        <v>40</v>
      </c>
      <c r="H328" s="56">
        <v>40</v>
      </c>
      <c r="I328" s="56">
        <v>40</v>
      </c>
      <c r="J328" s="133">
        <v>40</v>
      </c>
    </row>
    <row r="329" spans="1:10" ht="15.75">
      <c r="A329" s="57">
        <v>181</v>
      </c>
      <c r="B329" s="766">
        <v>42390024</v>
      </c>
      <c r="C329" s="57" t="s">
        <v>2674</v>
      </c>
      <c r="D329" s="55">
        <v>126</v>
      </c>
      <c r="E329" s="53" t="s">
        <v>286</v>
      </c>
      <c r="F329" s="57"/>
      <c r="G329" s="54">
        <v>36</v>
      </c>
      <c r="H329" s="56">
        <v>36</v>
      </c>
      <c r="I329" s="56">
        <v>27</v>
      </c>
      <c r="J329" s="133">
        <v>27</v>
      </c>
    </row>
    <row r="330" spans="1:10" ht="31.5">
      <c r="A330" s="57">
        <v>182</v>
      </c>
      <c r="B330" s="766" t="s">
        <v>2675</v>
      </c>
      <c r="C330" s="57" t="s">
        <v>2676</v>
      </c>
      <c r="D330" s="55">
        <v>925</v>
      </c>
      <c r="E330" s="53" t="s">
        <v>286</v>
      </c>
      <c r="F330" s="57"/>
      <c r="G330" s="54">
        <v>225</v>
      </c>
      <c r="H330" s="56">
        <v>232</v>
      </c>
      <c r="I330" s="56">
        <v>234</v>
      </c>
      <c r="J330" s="133">
        <v>234</v>
      </c>
    </row>
    <row r="331" spans="1:10" ht="31.5">
      <c r="A331" s="57">
        <v>183</v>
      </c>
      <c r="B331" s="766" t="s">
        <v>2677</v>
      </c>
      <c r="C331" s="57" t="s">
        <v>2678</v>
      </c>
      <c r="D331" s="55">
        <v>1296</v>
      </c>
      <c r="E331" s="53" t="s">
        <v>286</v>
      </c>
      <c r="F331" s="57"/>
      <c r="G331" s="54">
        <v>319</v>
      </c>
      <c r="H331" s="56">
        <v>328</v>
      </c>
      <c r="I331" s="56">
        <v>330</v>
      </c>
      <c r="J331" s="133">
        <v>319</v>
      </c>
    </row>
    <row r="332" spans="1:10" ht="31.5">
      <c r="A332" s="57">
        <v>184</v>
      </c>
      <c r="B332" s="766" t="s">
        <v>2679</v>
      </c>
      <c r="C332" s="57" t="s">
        <v>2680</v>
      </c>
      <c r="D332" s="55">
        <v>394</v>
      </c>
      <c r="E332" s="53" t="s">
        <v>286</v>
      </c>
      <c r="F332" s="57"/>
      <c r="G332" s="54">
        <v>98</v>
      </c>
      <c r="H332" s="56">
        <v>100</v>
      </c>
      <c r="I332" s="56">
        <v>100</v>
      </c>
      <c r="J332" s="133">
        <v>96</v>
      </c>
    </row>
    <row r="333" spans="1:10" ht="15.75">
      <c r="A333" s="57">
        <v>185</v>
      </c>
      <c r="B333" s="764" t="s">
        <v>2681</v>
      </c>
      <c r="C333" s="57" t="s">
        <v>2682</v>
      </c>
      <c r="D333" s="55">
        <v>34</v>
      </c>
      <c r="E333" s="53" t="s">
        <v>286</v>
      </c>
      <c r="F333" s="53"/>
      <c r="G333" s="54">
        <v>9</v>
      </c>
      <c r="H333" s="56">
        <v>8</v>
      </c>
      <c r="I333" s="56">
        <v>9</v>
      </c>
      <c r="J333" s="133">
        <v>8</v>
      </c>
    </row>
    <row r="334" spans="1:10" ht="15.75">
      <c r="A334" s="57">
        <v>186</v>
      </c>
      <c r="B334" s="764" t="s">
        <v>2683</v>
      </c>
      <c r="C334" s="57" t="s">
        <v>2684</v>
      </c>
      <c r="D334" s="55">
        <v>56</v>
      </c>
      <c r="E334" s="53" t="s">
        <v>286</v>
      </c>
      <c r="F334" s="53"/>
      <c r="G334" s="54">
        <v>14</v>
      </c>
      <c r="H334" s="56">
        <v>14</v>
      </c>
      <c r="I334" s="56">
        <v>15</v>
      </c>
      <c r="J334" s="133">
        <v>13</v>
      </c>
    </row>
    <row r="335" spans="1:10" ht="15.75">
      <c r="A335" s="57">
        <v>187</v>
      </c>
      <c r="B335" s="764" t="s">
        <v>2685</v>
      </c>
      <c r="C335" s="57" t="s">
        <v>2686</v>
      </c>
      <c r="D335" s="55">
        <v>28</v>
      </c>
      <c r="E335" s="53" t="s">
        <v>286</v>
      </c>
      <c r="F335" s="53"/>
      <c r="G335" s="54">
        <v>9</v>
      </c>
      <c r="H335" s="56">
        <v>7</v>
      </c>
      <c r="I335" s="56">
        <v>7</v>
      </c>
      <c r="J335" s="133">
        <v>5</v>
      </c>
    </row>
    <row r="336" spans="1:10" ht="15.75">
      <c r="A336" s="57">
        <v>188</v>
      </c>
      <c r="B336" s="764" t="s">
        <v>2687</v>
      </c>
      <c r="C336" s="57" t="s">
        <v>2688</v>
      </c>
      <c r="D336" s="55">
        <v>304</v>
      </c>
      <c r="E336" s="53" t="s">
        <v>286</v>
      </c>
      <c r="F336" s="53"/>
      <c r="G336" s="54">
        <v>76</v>
      </c>
      <c r="H336" s="56">
        <v>76</v>
      </c>
      <c r="I336" s="56">
        <v>76</v>
      </c>
      <c r="J336" s="133">
        <v>76</v>
      </c>
    </row>
    <row r="337" spans="1:10" ht="15.75">
      <c r="A337" s="57">
        <v>189</v>
      </c>
      <c r="B337" s="764" t="s">
        <v>2689</v>
      </c>
      <c r="C337" s="57" t="s">
        <v>2690</v>
      </c>
      <c r="D337" s="55">
        <v>288</v>
      </c>
      <c r="E337" s="53" t="s">
        <v>286</v>
      </c>
      <c r="F337" s="53"/>
      <c r="G337" s="54">
        <v>72</v>
      </c>
      <c r="H337" s="56">
        <v>72</v>
      </c>
      <c r="I337" s="56">
        <v>72</v>
      </c>
      <c r="J337" s="133">
        <v>72</v>
      </c>
    </row>
    <row r="338" spans="1:10" ht="15.75">
      <c r="A338" s="57">
        <v>190</v>
      </c>
      <c r="B338" s="764" t="s">
        <v>2691</v>
      </c>
      <c r="C338" s="57" t="s">
        <v>2692</v>
      </c>
      <c r="D338" s="55">
        <v>212</v>
      </c>
      <c r="E338" s="53" t="s">
        <v>286</v>
      </c>
      <c r="F338" s="53"/>
      <c r="G338" s="54">
        <v>59</v>
      </c>
      <c r="H338" s="56">
        <v>59</v>
      </c>
      <c r="I338" s="56">
        <v>47</v>
      </c>
      <c r="J338" s="133">
        <v>47</v>
      </c>
    </row>
    <row r="339" spans="1:10" ht="15.75">
      <c r="A339" s="57">
        <v>191</v>
      </c>
      <c r="B339" s="764" t="s">
        <v>2693</v>
      </c>
      <c r="C339" s="57" t="s">
        <v>2694</v>
      </c>
      <c r="D339" s="55">
        <v>112</v>
      </c>
      <c r="E339" s="53" t="s">
        <v>286</v>
      </c>
      <c r="F339" s="53"/>
      <c r="G339" s="54">
        <v>28</v>
      </c>
      <c r="H339" s="56">
        <v>28</v>
      </c>
      <c r="I339" s="56">
        <v>28</v>
      </c>
      <c r="J339" s="133">
        <v>28</v>
      </c>
    </row>
    <row r="340" spans="1:10" ht="15.75">
      <c r="A340" s="57">
        <v>192</v>
      </c>
      <c r="B340" s="764" t="s">
        <v>2695</v>
      </c>
      <c r="C340" s="57" t="s">
        <v>2696</v>
      </c>
      <c r="D340" s="55">
        <v>136</v>
      </c>
      <c r="E340" s="53" t="s">
        <v>286</v>
      </c>
      <c r="F340" s="53"/>
      <c r="G340" s="54">
        <v>33</v>
      </c>
      <c r="H340" s="56">
        <v>35</v>
      </c>
      <c r="I340" s="56">
        <v>33</v>
      </c>
      <c r="J340" s="133">
        <v>35</v>
      </c>
    </row>
    <row r="341" spans="1:10" ht="15.75">
      <c r="A341" s="57">
        <v>193</v>
      </c>
      <c r="B341" s="764" t="s">
        <v>2697</v>
      </c>
      <c r="C341" s="57" t="s">
        <v>2698</v>
      </c>
      <c r="D341" s="55">
        <v>50</v>
      </c>
      <c r="E341" s="53" t="s">
        <v>286</v>
      </c>
      <c r="F341" s="53"/>
      <c r="G341" s="54">
        <v>12</v>
      </c>
      <c r="H341" s="56">
        <v>13</v>
      </c>
      <c r="I341" s="56">
        <v>12</v>
      </c>
      <c r="J341" s="133">
        <v>13</v>
      </c>
    </row>
    <row r="342" spans="1:10" ht="15.75">
      <c r="A342" s="57">
        <v>194</v>
      </c>
      <c r="B342" s="764" t="s">
        <v>2699</v>
      </c>
      <c r="C342" s="57" t="s">
        <v>2700</v>
      </c>
      <c r="D342" s="55">
        <v>14</v>
      </c>
      <c r="E342" s="53" t="s">
        <v>286</v>
      </c>
      <c r="F342" s="53"/>
      <c r="G342" s="54">
        <v>3</v>
      </c>
      <c r="H342" s="56">
        <v>4</v>
      </c>
      <c r="I342" s="56">
        <v>4</v>
      </c>
      <c r="J342" s="133">
        <v>3</v>
      </c>
    </row>
    <row r="343" spans="1:10" ht="15.75">
      <c r="A343" s="57">
        <v>195</v>
      </c>
      <c r="B343" s="764" t="s">
        <v>2701</v>
      </c>
      <c r="C343" s="57" t="s">
        <v>2702</v>
      </c>
      <c r="D343" s="55">
        <v>14</v>
      </c>
      <c r="E343" s="53" t="s">
        <v>286</v>
      </c>
      <c r="F343" s="53"/>
      <c r="G343" s="54">
        <v>3</v>
      </c>
      <c r="H343" s="56">
        <v>4</v>
      </c>
      <c r="I343" s="56">
        <v>4</v>
      </c>
      <c r="J343" s="133">
        <v>3</v>
      </c>
    </row>
    <row r="344" spans="1:10" ht="15.75">
      <c r="A344" s="57">
        <v>196</v>
      </c>
      <c r="B344" s="764" t="s">
        <v>2685</v>
      </c>
      <c r="C344" s="57" t="s">
        <v>2703</v>
      </c>
      <c r="D344" s="55">
        <v>12</v>
      </c>
      <c r="E344" s="53" t="s">
        <v>286</v>
      </c>
      <c r="F344" s="53"/>
      <c r="G344" s="54">
        <v>3</v>
      </c>
      <c r="H344" s="56">
        <v>3</v>
      </c>
      <c r="I344" s="56">
        <v>3</v>
      </c>
      <c r="J344" s="133">
        <v>3</v>
      </c>
    </row>
    <row r="345" spans="1:10" ht="26.25">
      <c r="A345" s="1056" t="s">
        <v>2842</v>
      </c>
      <c r="B345" s="1056"/>
      <c r="C345" s="1056"/>
      <c r="D345" s="1056"/>
      <c r="E345" s="1056"/>
      <c r="F345" s="1056"/>
      <c r="G345" s="1056"/>
      <c r="H345" s="1056"/>
      <c r="I345" s="1056"/>
      <c r="J345" s="1056"/>
    </row>
    <row r="346" spans="1:10" ht="15.75">
      <c r="A346" s="70">
        <v>1</v>
      </c>
      <c r="B346" s="135" t="s">
        <v>1774</v>
      </c>
      <c r="C346" s="63" t="s">
        <v>1775</v>
      </c>
      <c r="D346" s="119">
        <v>4700</v>
      </c>
      <c r="E346" s="33" t="s">
        <v>414</v>
      </c>
      <c r="F346" s="813"/>
      <c r="G346" s="53">
        <v>800</v>
      </c>
      <c r="H346" s="53">
        <v>1300</v>
      </c>
      <c r="I346" s="53">
        <v>1300</v>
      </c>
      <c r="J346" s="53">
        <v>1300</v>
      </c>
    </row>
    <row r="347" spans="1:10" ht="15.75">
      <c r="A347" s="70">
        <v>2</v>
      </c>
      <c r="B347" s="135" t="s">
        <v>1776</v>
      </c>
      <c r="C347" s="63" t="s">
        <v>1777</v>
      </c>
      <c r="D347" s="119">
        <v>80</v>
      </c>
      <c r="E347" s="33" t="s">
        <v>414</v>
      </c>
      <c r="F347" s="813"/>
      <c r="G347" s="53">
        <v>20</v>
      </c>
      <c r="H347" s="53">
        <v>20</v>
      </c>
      <c r="I347" s="53">
        <v>20</v>
      </c>
      <c r="J347" s="53">
        <v>20</v>
      </c>
    </row>
    <row r="348" spans="1:10" ht="15.75">
      <c r="A348" s="70">
        <v>3</v>
      </c>
      <c r="B348" s="135" t="s">
        <v>2818</v>
      </c>
      <c r="C348" s="63" t="s">
        <v>2819</v>
      </c>
      <c r="D348" s="119">
        <v>260</v>
      </c>
      <c r="E348" s="33" t="s">
        <v>414</v>
      </c>
      <c r="F348" s="813"/>
      <c r="G348" s="53">
        <v>55</v>
      </c>
      <c r="H348" s="53">
        <v>75</v>
      </c>
      <c r="I348" s="53">
        <v>75</v>
      </c>
      <c r="J348" s="53">
        <v>55</v>
      </c>
    </row>
    <row r="349" spans="1:10" ht="15.75">
      <c r="A349" s="70">
        <v>4</v>
      </c>
      <c r="B349" s="135" t="s">
        <v>1922</v>
      </c>
      <c r="C349" s="63"/>
      <c r="D349" s="119">
        <v>40000</v>
      </c>
      <c r="E349" s="63" t="s">
        <v>390</v>
      </c>
      <c r="F349" s="813"/>
      <c r="G349" s="32">
        <v>10000</v>
      </c>
      <c r="H349" s="32">
        <v>10000</v>
      </c>
      <c r="I349" s="32">
        <v>10000</v>
      </c>
      <c r="J349" s="32">
        <v>10000</v>
      </c>
    </row>
    <row r="350" spans="1:10" ht="15.75">
      <c r="A350" s="70">
        <v>5</v>
      </c>
      <c r="B350" s="135" t="s">
        <v>1923</v>
      </c>
      <c r="C350" s="672" t="s">
        <v>1924</v>
      </c>
      <c r="D350" s="119">
        <v>800</v>
      </c>
      <c r="E350" s="63" t="s">
        <v>390</v>
      </c>
      <c r="F350" s="813"/>
      <c r="G350" s="32">
        <v>200</v>
      </c>
      <c r="H350" s="32">
        <v>200</v>
      </c>
      <c r="I350" s="32">
        <v>400</v>
      </c>
      <c r="J350" s="32"/>
    </row>
    <row r="351" spans="1:10" ht="15.75">
      <c r="A351" s="70">
        <v>6</v>
      </c>
      <c r="B351" s="135" t="s">
        <v>1921</v>
      </c>
      <c r="C351" s="63"/>
      <c r="D351" s="119">
        <v>21270</v>
      </c>
      <c r="E351" s="63" t="s">
        <v>390</v>
      </c>
      <c r="F351" s="813"/>
      <c r="G351" s="32">
        <v>4414</v>
      </c>
      <c r="H351" s="32">
        <v>6321</v>
      </c>
      <c r="I351" s="32">
        <v>6321</v>
      </c>
      <c r="J351" s="32">
        <v>4214</v>
      </c>
    </row>
    <row r="352" spans="1:10" ht="15.75">
      <c r="A352" s="70">
        <v>7</v>
      </c>
      <c r="B352" s="135" t="s">
        <v>1920</v>
      </c>
      <c r="C352" s="452"/>
      <c r="D352" s="119">
        <v>130</v>
      </c>
      <c r="E352" s="63" t="s">
        <v>390</v>
      </c>
      <c r="F352" s="813"/>
      <c r="G352" s="453">
        <v>26</v>
      </c>
      <c r="H352" s="453">
        <v>39</v>
      </c>
      <c r="I352" s="453">
        <v>39</v>
      </c>
      <c r="J352" s="453">
        <v>26</v>
      </c>
    </row>
    <row r="353" spans="1:10" ht="15.75">
      <c r="A353" s="70">
        <v>8</v>
      </c>
      <c r="B353" s="135" t="s">
        <v>1919</v>
      </c>
      <c r="C353" s="452"/>
      <c r="D353" s="119">
        <v>150</v>
      </c>
      <c r="E353" s="63" t="s">
        <v>390</v>
      </c>
      <c r="F353" s="813"/>
      <c r="G353" s="453">
        <v>0</v>
      </c>
      <c r="H353" s="453">
        <v>50</v>
      </c>
      <c r="I353" s="453">
        <v>50</v>
      </c>
      <c r="J353" s="453">
        <v>50</v>
      </c>
    </row>
    <row r="354" spans="1:10" ht="15.75">
      <c r="A354" s="70">
        <v>9</v>
      </c>
      <c r="B354" s="135" t="s">
        <v>1918</v>
      </c>
      <c r="C354" s="63"/>
      <c r="D354" s="119">
        <v>1650</v>
      </c>
      <c r="E354" s="63" t="s">
        <v>390</v>
      </c>
      <c r="F354" s="813"/>
      <c r="G354" s="32">
        <v>330</v>
      </c>
      <c r="H354" s="32">
        <v>495</v>
      </c>
      <c r="I354" s="32">
        <v>495</v>
      </c>
      <c r="J354" s="32">
        <v>330</v>
      </c>
    </row>
    <row r="355" spans="1:10" ht="15.75">
      <c r="A355" s="70">
        <v>10</v>
      </c>
      <c r="B355" s="135" t="s">
        <v>1917</v>
      </c>
      <c r="C355" s="452"/>
      <c r="D355" s="119">
        <v>200</v>
      </c>
      <c r="E355" s="63" t="s">
        <v>390</v>
      </c>
      <c r="F355" s="813"/>
      <c r="G355" s="453">
        <v>50</v>
      </c>
      <c r="H355" s="453">
        <v>50</v>
      </c>
      <c r="I355" s="453">
        <v>50</v>
      </c>
      <c r="J355" s="453">
        <v>50</v>
      </c>
    </row>
    <row r="356" spans="1:10" ht="15.75">
      <c r="A356" s="70">
        <v>11</v>
      </c>
      <c r="B356" s="135" t="s">
        <v>1916</v>
      </c>
      <c r="C356" s="63"/>
      <c r="D356" s="119">
        <v>2300</v>
      </c>
      <c r="E356" s="63" t="s">
        <v>390</v>
      </c>
      <c r="F356" s="813"/>
      <c r="G356" s="32">
        <v>460</v>
      </c>
      <c r="H356" s="32">
        <v>690</v>
      </c>
      <c r="I356" s="32">
        <v>690</v>
      </c>
      <c r="J356" s="32">
        <v>460</v>
      </c>
    </row>
    <row r="357" spans="1:10" ht="15.75">
      <c r="A357" s="70">
        <v>12</v>
      </c>
      <c r="B357" s="135" t="s">
        <v>1915</v>
      </c>
      <c r="C357" s="63"/>
      <c r="D357" s="119">
        <v>15000</v>
      </c>
      <c r="E357" s="63" t="s">
        <v>390</v>
      </c>
      <c r="F357" s="813"/>
      <c r="G357" s="32">
        <v>3000</v>
      </c>
      <c r="H357" s="32">
        <v>4000</v>
      </c>
      <c r="I357" s="32">
        <v>4000</v>
      </c>
      <c r="J357" s="32">
        <v>4000</v>
      </c>
    </row>
    <row r="358" spans="1:10" ht="15.75">
      <c r="A358" s="70">
        <v>13</v>
      </c>
      <c r="B358" s="135" t="s">
        <v>1914</v>
      </c>
      <c r="C358" s="63"/>
      <c r="D358" s="119">
        <v>3870</v>
      </c>
      <c r="E358" s="63" t="s">
        <v>390</v>
      </c>
      <c r="F358" s="813"/>
      <c r="G358" s="53">
        <v>774</v>
      </c>
      <c r="H358" s="53">
        <v>1161</v>
      </c>
      <c r="I358" s="53">
        <v>1161</v>
      </c>
      <c r="J358" s="53">
        <v>774</v>
      </c>
    </row>
    <row r="359" spans="1:10" ht="15.75">
      <c r="A359" s="70">
        <v>14</v>
      </c>
      <c r="B359" s="135" t="s">
        <v>1913</v>
      </c>
      <c r="C359" s="452"/>
      <c r="D359" s="119">
        <v>350</v>
      </c>
      <c r="E359" s="63" t="s">
        <v>390</v>
      </c>
      <c r="F359" s="813"/>
      <c r="G359" s="36">
        <v>50</v>
      </c>
      <c r="H359" s="36">
        <v>100</v>
      </c>
      <c r="I359" s="36">
        <v>100</v>
      </c>
      <c r="J359" s="36">
        <v>100</v>
      </c>
    </row>
    <row r="360" spans="1:10" ht="15.75">
      <c r="A360" s="70">
        <v>15</v>
      </c>
      <c r="B360" s="135" t="s">
        <v>1912</v>
      </c>
      <c r="C360" s="63"/>
      <c r="D360" s="119">
        <v>3800</v>
      </c>
      <c r="E360" s="63" t="s">
        <v>390</v>
      </c>
      <c r="F360" s="813"/>
      <c r="G360" s="53">
        <v>760</v>
      </c>
      <c r="H360" s="53">
        <v>1140</v>
      </c>
      <c r="I360" s="53">
        <v>1140</v>
      </c>
      <c r="J360" s="53">
        <v>760</v>
      </c>
    </row>
    <row r="361" spans="1:10" ht="15.75">
      <c r="A361" s="70">
        <v>16</v>
      </c>
      <c r="B361" s="135" t="s">
        <v>1911</v>
      </c>
      <c r="C361" s="63" t="s">
        <v>1778</v>
      </c>
      <c r="D361" s="119">
        <v>9000</v>
      </c>
      <c r="E361" s="63" t="s">
        <v>390</v>
      </c>
      <c r="F361" s="813"/>
      <c r="G361" s="32">
        <v>2000</v>
      </c>
      <c r="H361" s="32">
        <v>2500</v>
      </c>
      <c r="I361" s="32">
        <v>2500</v>
      </c>
      <c r="J361" s="32">
        <v>2000</v>
      </c>
    </row>
    <row r="362" spans="1:10" ht="15.75">
      <c r="A362" s="70">
        <v>17</v>
      </c>
      <c r="B362" s="135" t="s">
        <v>1910</v>
      </c>
      <c r="C362" s="63"/>
      <c r="D362" s="119">
        <v>3750</v>
      </c>
      <c r="E362" s="63" t="s">
        <v>390</v>
      </c>
      <c r="F362" s="813"/>
      <c r="G362" s="32">
        <v>750</v>
      </c>
      <c r="H362" s="32">
        <v>1125</v>
      </c>
      <c r="I362" s="32">
        <v>1125</v>
      </c>
      <c r="J362" s="32">
        <v>750</v>
      </c>
    </row>
    <row r="363" spans="1:10" ht="15.75">
      <c r="A363" s="70">
        <v>18</v>
      </c>
      <c r="B363" s="135" t="s">
        <v>1909</v>
      </c>
      <c r="C363" s="63"/>
      <c r="D363" s="119">
        <v>800</v>
      </c>
      <c r="E363" s="63" t="s">
        <v>390</v>
      </c>
      <c r="F363" s="813"/>
      <c r="G363" s="32">
        <v>200</v>
      </c>
      <c r="H363" s="32">
        <v>200</v>
      </c>
      <c r="I363" s="32">
        <v>200</v>
      </c>
      <c r="J363" s="32">
        <v>200</v>
      </c>
    </row>
    <row r="364" spans="1:10" ht="15.75">
      <c r="A364" s="70">
        <v>19</v>
      </c>
      <c r="B364" s="135" t="s">
        <v>1908</v>
      </c>
      <c r="C364" s="63"/>
      <c r="D364" s="119">
        <v>4000</v>
      </c>
      <c r="E364" s="63" t="s">
        <v>390</v>
      </c>
      <c r="F364" s="813"/>
      <c r="G364" s="32">
        <v>800</v>
      </c>
      <c r="H364" s="32">
        <v>1200</v>
      </c>
      <c r="I364" s="32">
        <v>1200</v>
      </c>
      <c r="J364" s="32">
        <v>800</v>
      </c>
    </row>
    <row r="365" spans="1:10" ht="15.75">
      <c r="A365" s="70">
        <v>20</v>
      </c>
      <c r="B365" s="135" t="s">
        <v>1907</v>
      </c>
      <c r="C365" s="63"/>
      <c r="D365" s="119">
        <v>5900</v>
      </c>
      <c r="E365" s="63" t="s">
        <v>390</v>
      </c>
      <c r="F365" s="813"/>
      <c r="G365" s="32">
        <v>1180</v>
      </c>
      <c r="H365" s="32">
        <v>1770</v>
      </c>
      <c r="I365" s="32">
        <v>1770</v>
      </c>
      <c r="J365" s="32">
        <v>1180</v>
      </c>
    </row>
    <row r="366" spans="1:10" ht="15.75">
      <c r="A366" s="70">
        <v>21</v>
      </c>
      <c r="B366" s="135" t="s">
        <v>1779</v>
      </c>
      <c r="C366" s="63"/>
      <c r="D366" s="119">
        <v>30000</v>
      </c>
      <c r="E366" s="63" t="s">
        <v>390</v>
      </c>
      <c r="F366" s="813"/>
      <c r="G366" s="32">
        <v>7500</v>
      </c>
      <c r="H366" s="32">
        <v>7500</v>
      </c>
      <c r="I366" s="32">
        <v>7500</v>
      </c>
      <c r="J366" s="32">
        <v>7500</v>
      </c>
    </row>
    <row r="367" spans="1:10" ht="15.75">
      <c r="A367" s="70">
        <v>22</v>
      </c>
      <c r="B367" s="135" t="s">
        <v>1780</v>
      </c>
      <c r="C367" s="63"/>
      <c r="D367" s="119">
        <v>30000</v>
      </c>
      <c r="E367" s="63" t="s">
        <v>390</v>
      </c>
      <c r="F367" s="813"/>
      <c r="G367" s="32">
        <v>7500</v>
      </c>
      <c r="H367" s="32">
        <v>7500</v>
      </c>
      <c r="I367" s="32">
        <v>7500</v>
      </c>
      <c r="J367" s="32">
        <v>7500</v>
      </c>
    </row>
    <row r="368" spans="1:10" ht="15.75">
      <c r="A368" s="70">
        <v>23</v>
      </c>
      <c r="B368" s="135" t="s">
        <v>1781</v>
      </c>
      <c r="C368" s="63" t="s">
        <v>1782</v>
      </c>
      <c r="D368" s="119">
        <v>5100</v>
      </c>
      <c r="E368" s="63" t="s">
        <v>27</v>
      </c>
      <c r="F368" s="813"/>
      <c r="G368" s="32">
        <v>1275</v>
      </c>
      <c r="H368" s="32">
        <v>1275</v>
      </c>
      <c r="I368" s="32">
        <v>1275</v>
      </c>
      <c r="J368" s="32">
        <v>1275</v>
      </c>
    </row>
    <row r="369" spans="1:10" ht="15.75">
      <c r="A369" s="70">
        <v>24</v>
      </c>
      <c r="B369" s="135" t="s">
        <v>597</v>
      </c>
      <c r="C369" s="63" t="s">
        <v>1783</v>
      </c>
      <c r="D369" s="119">
        <v>4860</v>
      </c>
      <c r="E369" s="63" t="s">
        <v>27</v>
      </c>
      <c r="F369" s="813"/>
      <c r="G369" s="32">
        <v>1215</v>
      </c>
      <c r="H369" s="32">
        <v>1215</v>
      </c>
      <c r="I369" s="32">
        <v>1215</v>
      </c>
      <c r="J369" s="32">
        <v>1215</v>
      </c>
    </row>
    <row r="370" spans="1:10" ht="15.75">
      <c r="A370" s="70">
        <v>25</v>
      </c>
      <c r="B370" s="135" t="s">
        <v>1906</v>
      </c>
      <c r="C370" s="63" t="s">
        <v>1784</v>
      </c>
      <c r="D370" s="119">
        <v>6000</v>
      </c>
      <c r="E370" s="63" t="s">
        <v>27</v>
      </c>
      <c r="F370" s="813"/>
      <c r="G370" s="36">
        <v>1500</v>
      </c>
      <c r="H370" s="36">
        <v>1500</v>
      </c>
      <c r="I370" s="36">
        <v>1500</v>
      </c>
      <c r="J370" s="36">
        <v>1500</v>
      </c>
    </row>
    <row r="371" spans="1:10" ht="15.75">
      <c r="A371" s="70">
        <v>26</v>
      </c>
      <c r="B371" s="135" t="s">
        <v>1905</v>
      </c>
      <c r="C371" s="63"/>
      <c r="D371" s="119">
        <v>3840</v>
      </c>
      <c r="E371" s="63"/>
      <c r="F371" s="813"/>
      <c r="G371" s="36">
        <v>768</v>
      </c>
      <c r="H371" s="36">
        <v>1152</v>
      </c>
      <c r="I371" s="36">
        <v>1152</v>
      </c>
      <c r="J371" s="36">
        <v>768</v>
      </c>
    </row>
    <row r="372" spans="1:10" ht="15.75">
      <c r="A372" s="70">
        <v>27</v>
      </c>
      <c r="B372" s="135" t="s">
        <v>1785</v>
      </c>
      <c r="C372" s="63" t="s">
        <v>1786</v>
      </c>
      <c r="D372" s="119">
        <v>100</v>
      </c>
      <c r="E372" s="63" t="s">
        <v>390</v>
      </c>
      <c r="F372" s="813"/>
      <c r="G372" s="453">
        <v>50</v>
      </c>
      <c r="H372" s="453">
        <v>0</v>
      </c>
      <c r="I372" s="453">
        <v>0</v>
      </c>
      <c r="J372" s="453">
        <v>50</v>
      </c>
    </row>
    <row r="373" spans="1:10" ht="15.75">
      <c r="A373" s="70">
        <v>28</v>
      </c>
      <c r="B373" s="135" t="s">
        <v>1787</v>
      </c>
      <c r="C373" s="672" t="s">
        <v>1788</v>
      </c>
      <c r="D373" s="119">
        <v>2000</v>
      </c>
      <c r="E373" s="63" t="s">
        <v>27</v>
      </c>
      <c r="F373" s="813"/>
      <c r="G373" s="36">
        <v>1000</v>
      </c>
      <c r="H373" s="36">
        <v>0</v>
      </c>
      <c r="I373" s="36">
        <v>0</v>
      </c>
      <c r="J373" s="36">
        <v>1000</v>
      </c>
    </row>
    <row r="374" spans="1:10" ht="15.75">
      <c r="A374" s="70">
        <v>29</v>
      </c>
      <c r="B374" s="135" t="s">
        <v>1787</v>
      </c>
      <c r="C374" s="672" t="s">
        <v>1788</v>
      </c>
      <c r="D374" s="119">
        <v>7745</v>
      </c>
      <c r="E374" s="63" t="s">
        <v>27</v>
      </c>
      <c r="F374" s="813"/>
      <c r="G374" s="36">
        <v>1665</v>
      </c>
      <c r="H374" s="36">
        <v>2280</v>
      </c>
      <c r="I374" s="36">
        <v>2280</v>
      </c>
      <c r="J374" s="36">
        <v>1520</v>
      </c>
    </row>
    <row r="375" spans="1:10" ht="15.75">
      <c r="A375" s="70">
        <v>30</v>
      </c>
      <c r="B375" s="135" t="s">
        <v>1925</v>
      </c>
      <c r="C375" s="672"/>
      <c r="D375" s="119">
        <v>70</v>
      </c>
      <c r="E375" s="63" t="s">
        <v>27</v>
      </c>
      <c r="F375" s="813"/>
      <c r="G375" s="36">
        <v>70</v>
      </c>
      <c r="H375" s="36"/>
      <c r="I375" s="36"/>
      <c r="J375" s="36"/>
    </row>
    <row r="376" spans="1:10" ht="15.75">
      <c r="A376" s="70">
        <v>31</v>
      </c>
      <c r="B376" s="135" t="s">
        <v>1789</v>
      </c>
      <c r="C376" s="672" t="s">
        <v>1790</v>
      </c>
      <c r="D376" s="119">
        <v>400</v>
      </c>
      <c r="E376" s="63" t="s">
        <v>27</v>
      </c>
      <c r="F376" s="813"/>
      <c r="G376" s="453">
        <v>100</v>
      </c>
      <c r="H376" s="453">
        <v>100</v>
      </c>
      <c r="I376" s="453">
        <v>100</v>
      </c>
      <c r="J376" s="453">
        <v>100</v>
      </c>
    </row>
    <row r="377" spans="1:10" ht="15.75">
      <c r="A377" s="70">
        <v>32</v>
      </c>
      <c r="B377" s="179" t="s">
        <v>1791</v>
      </c>
      <c r="C377" s="674"/>
      <c r="D377" s="119">
        <v>1200</v>
      </c>
      <c r="E377" s="77" t="s">
        <v>27</v>
      </c>
      <c r="F377" s="813"/>
      <c r="G377" s="453">
        <v>300</v>
      </c>
      <c r="H377" s="453">
        <v>300</v>
      </c>
      <c r="I377" s="453">
        <v>300</v>
      </c>
      <c r="J377" s="453">
        <v>300</v>
      </c>
    </row>
    <row r="378" spans="1:10" ht="15.75">
      <c r="A378" s="70">
        <v>33</v>
      </c>
      <c r="B378" s="135" t="s">
        <v>1792</v>
      </c>
      <c r="C378" s="452"/>
      <c r="D378" s="119">
        <v>200</v>
      </c>
      <c r="E378" s="63" t="s">
        <v>390</v>
      </c>
      <c r="F378" s="813"/>
      <c r="G378" s="453">
        <v>40</v>
      </c>
      <c r="H378" s="453">
        <v>60</v>
      </c>
      <c r="I378" s="453">
        <v>60</v>
      </c>
      <c r="J378" s="453">
        <v>40</v>
      </c>
    </row>
    <row r="379" spans="1:10" ht="26.25">
      <c r="A379" s="1056" t="s">
        <v>2843</v>
      </c>
      <c r="B379" s="1056"/>
      <c r="C379" s="1056"/>
      <c r="D379" s="1056"/>
      <c r="E379" s="1056"/>
      <c r="F379" s="1056"/>
      <c r="G379" s="1056"/>
      <c r="H379" s="1056"/>
      <c r="I379" s="1056"/>
      <c r="J379" s="1056"/>
    </row>
    <row r="380" spans="1:10" ht="15.75">
      <c r="A380" s="70">
        <v>1</v>
      </c>
      <c r="B380" s="769" t="s">
        <v>277</v>
      </c>
      <c r="C380" s="16"/>
      <c r="D380" s="671">
        <v>200</v>
      </c>
      <c r="E380" s="670" t="s">
        <v>278</v>
      </c>
      <c r="F380" s="112" t="s">
        <v>2719</v>
      </c>
      <c r="G380" s="671">
        <v>0</v>
      </c>
      <c r="H380" s="671">
        <v>100</v>
      </c>
      <c r="I380" s="671">
        <v>100</v>
      </c>
      <c r="J380" s="671">
        <v>0</v>
      </c>
    </row>
    <row r="381" spans="1:10" ht="15.75">
      <c r="A381" s="70">
        <v>2</v>
      </c>
      <c r="B381" s="769" t="s">
        <v>279</v>
      </c>
      <c r="C381" s="17" t="s">
        <v>280</v>
      </c>
      <c r="D381" s="671">
        <v>866</v>
      </c>
      <c r="E381" s="670" t="s">
        <v>278</v>
      </c>
      <c r="F381" s="112" t="s">
        <v>281</v>
      </c>
      <c r="G381" s="671">
        <v>173</v>
      </c>
      <c r="H381" s="671">
        <v>260</v>
      </c>
      <c r="I381" s="671">
        <v>260</v>
      </c>
      <c r="J381" s="671">
        <v>173</v>
      </c>
    </row>
    <row r="382" spans="1:10" ht="15.75">
      <c r="A382" s="70">
        <v>3</v>
      </c>
      <c r="B382" s="769" t="s">
        <v>282</v>
      </c>
      <c r="C382" s="16"/>
      <c r="D382" s="671">
        <v>500</v>
      </c>
      <c r="E382" s="670" t="s">
        <v>278</v>
      </c>
      <c r="F382" s="112" t="s">
        <v>283</v>
      </c>
      <c r="G382" s="671"/>
      <c r="H382" s="671"/>
      <c r="I382" s="671">
        <v>200</v>
      </c>
      <c r="J382" s="671">
        <v>300</v>
      </c>
    </row>
    <row r="383" spans="1:10" ht="15.75">
      <c r="A383" s="70">
        <v>4</v>
      </c>
      <c r="B383" s="769" t="s">
        <v>284</v>
      </c>
      <c r="C383" s="17" t="s">
        <v>285</v>
      </c>
      <c r="D383" s="671">
        <v>516</v>
      </c>
      <c r="E383" s="674" t="s">
        <v>286</v>
      </c>
      <c r="F383" s="112" t="s">
        <v>287</v>
      </c>
      <c r="G383" s="671"/>
      <c r="H383" s="671"/>
      <c r="I383" s="671">
        <v>258</v>
      </c>
      <c r="J383" s="671">
        <v>258</v>
      </c>
    </row>
    <row r="384" spans="1:10" ht="15.75">
      <c r="A384" s="670">
        <v>5</v>
      </c>
      <c r="B384" s="769" t="s">
        <v>288</v>
      </c>
      <c r="C384" s="17"/>
      <c r="D384" s="671">
        <v>130</v>
      </c>
      <c r="E384" s="674" t="s">
        <v>286</v>
      </c>
      <c r="F384" s="112" t="s">
        <v>289</v>
      </c>
      <c r="G384" s="671"/>
      <c r="H384" s="671"/>
      <c r="I384" s="671">
        <v>65</v>
      </c>
      <c r="J384" s="671">
        <v>65</v>
      </c>
    </row>
    <row r="385" spans="1:10" ht="15.75">
      <c r="A385" s="670">
        <v>6</v>
      </c>
      <c r="B385" s="769" t="s">
        <v>290</v>
      </c>
      <c r="C385" s="18"/>
      <c r="D385" s="671">
        <v>110</v>
      </c>
      <c r="E385" s="674" t="s">
        <v>286</v>
      </c>
      <c r="F385" s="112" t="s">
        <v>291</v>
      </c>
      <c r="G385" s="671"/>
      <c r="H385" s="671"/>
      <c r="I385" s="671">
        <v>66</v>
      </c>
      <c r="J385" s="671">
        <v>44</v>
      </c>
    </row>
    <row r="386" spans="1:10" ht="15.75">
      <c r="A386" s="670">
        <v>7</v>
      </c>
      <c r="B386" s="769" t="s">
        <v>292</v>
      </c>
      <c r="C386" s="16"/>
      <c r="D386" s="671">
        <v>1000</v>
      </c>
      <c r="E386" s="670" t="s">
        <v>278</v>
      </c>
      <c r="F386" s="117" t="s">
        <v>293</v>
      </c>
      <c r="G386" s="671">
        <v>0</v>
      </c>
      <c r="H386" s="671">
        <v>500</v>
      </c>
      <c r="I386" s="671">
        <v>500</v>
      </c>
      <c r="J386" s="671">
        <v>0</v>
      </c>
    </row>
    <row r="387" spans="1:10" ht="15.75">
      <c r="A387" s="670">
        <v>8</v>
      </c>
      <c r="B387" s="179" t="s">
        <v>294</v>
      </c>
      <c r="C387" s="16"/>
      <c r="D387" s="671">
        <v>34</v>
      </c>
      <c r="E387" s="670" t="s">
        <v>278</v>
      </c>
      <c r="F387" s="117" t="s">
        <v>295</v>
      </c>
      <c r="G387" s="671">
        <v>7</v>
      </c>
      <c r="H387" s="671">
        <v>10</v>
      </c>
      <c r="I387" s="671">
        <v>10</v>
      </c>
      <c r="J387" s="671">
        <v>7</v>
      </c>
    </row>
    <row r="388" spans="1:10" ht="15.75">
      <c r="A388" s="670">
        <v>9</v>
      </c>
      <c r="B388" s="179" t="s">
        <v>296</v>
      </c>
      <c r="C388" s="16"/>
      <c r="D388" s="671">
        <v>40</v>
      </c>
      <c r="E388" s="670" t="s">
        <v>278</v>
      </c>
      <c r="F388" s="117" t="s">
        <v>297</v>
      </c>
      <c r="G388" s="671">
        <v>0</v>
      </c>
      <c r="H388" s="671">
        <v>20</v>
      </c>
      <c r="I388" s="671">
        <v>10</v>
      </c>
      <c r="J388" s="671">
        <v>10</v>
      </c>
    </row>
    <row r="389" spans="1:10" ht="15.75">
      <c r="A389" s="670">
        <v>10</v>
      </c>
      <c r="B389" s="179" t="s">
        <v>298</v>
      </c>
      <c r="C389" s="17" t="s">
        <v>280</v>
      </c>
      <c r="D389" s="671">
        <v>40</v>
      </c>
      <c r="E389" s="670" t="s">
        <v>278</v>
      </c>
      <c r="F389" s="117" t="s">
        <v>295</v>
      </c>
      <c r="G389" s="671"/>
      <c r="H389" s="671">
        <v>20</v>
      </c>
      <c r="I389" s="671">
        <v>10</v>
      </c>
      <c r="J389" s="671">
        <v>10</v>
      </c>
    </row>
    <row r="390" spans="1:10" ht="15.75">
      <c r="A390" s="670">
        <v>11</v>
      </c>
      <c r="B390" s="179" t="s">
        <v>299</v>
      </c>
      <c r="C390" s="16"/>
      <c r="D390" s="671">
        <v>20</v>
      </c>
      <c r="E390" s="674" t="s">
        <v>286</v>
      </c>
      <c r="F390" s="117" t="s">
        <v>300</v>
      </c>
      <c r="G390" s="671">
        <v>4</v>
      </c>
      <c r="H390" s="671">
        <v>6</v>
      </c>
      <c r="I390" s="671">
        <v>6</v>
      </c>
      <c r="J390" s="671">
        <v>4</v>
      </c>
    </row>
    <row r="391" spans="1:10" ht="25.5">
      <c r="A391" s="670">
        <v>12</v>
      </c>
      <c r="B391" s="179" t="s">
        <v>301</v>
      </c>
      <c r="C391" s="16"/>
      <c r="D391" s="671">
        <v>350</v>
      </c>
      <c r="E391" s="674" t="s">
        <v>286</v>
      </c>
      <c r="F391" s="117" t="s">
        <v>302</v>
      </c>
      <c r="G391" s="671">
        <v>0</v>
      </c>
      <c r="H391" s="671">
        <v>150</v>
      </c>
      <c r="I391" s="671">
        <v>100</v>
      </c>
      <c r="J391" s="671">
        <v>100</v>
      </c>
    </row>
    <row r="392" spans="1:10" ht="15.75">
      <c r="A392" s="670">
        <v>13</v>
      </c>
      <c r="B392" s="769" t="s">
        <v>303</v>
      </c>
      <c r="C392" s="16"/>
      <c r="D392" s="671">
        <v>140</v>
      </c>
      <c r="E392" s="670" t="s">
        <v>278</v>
      </c>
      <c r="F392" s="117" t="s">
        <v>304</v>
      </c>
      <c r="G392" s="671">
        <v>28</v>
      </c>
      <c r="H392" s="671">
        <v>42</v>
      </c>
      <c r="I392" s="671">
        <v>42</v>
      </c>
      <c r="J392" s="671">
        <v>28</v>
      </c>
    </row>
    <row r="393" spans="1:10" ht="15.75">
      <c r="A393" s="670">
        <v>14</v>
      </c>
      <c r="B393" s="769" t="s">
        <v>305</v>
      </c>
      <c r="C393" s="16"/>
      <c r="D393" s="671">
        <v>66</v>
      </c>
      <c r="E393" s="670" t="s">
        <v>278</v>
      </c>
      <c r="F393" s="118" t="s">
        <v>306</v>
      </c>
      <c r="G393" s="671">
        <v>13</v>
      </c>
      <c r="H393" s="671">
        <v>20</v>
      </c>
      <c r="I393" s="671">
        <v>20</v>
      </c>
      <c r="J393" s="671">
        <v>13</v>
      </c>
    </row>
    <row r="394" spans="1:10" ht="15.75">
      <c r="A394" s="670">
        <v>15</v>
      </c>
      <c r="B394" s="769" t="s">
        <v>309</v>
      </c>
      <c r="C394" s="16"/>
      <c r="D394" s="671">
        <v>100</v>
      </c>
      <c r="E394" s="674" t="s">
        <v>286</v>
      </c>
      <c r="F394" s="117" t="s">
        <v>310</v>
      </c>
      <c r="G394" s="671">
        <v>20</v>
      </c>
      <c r="H394" s="671">
        <v>30</v>
      </c>
      <c r="I394" s="671">
        <v>30</v>
      </c>
      <c r="J394" s="671">
        <v>20</v>
      </c>
    </row>
    <row r="395" spans="1:10" ht="15.75">
      <c r="A395" s="670">
        <v>16</v>
      </c>
      <c r="B395" s="179" t="s">
        <v>311</v>
      </c>
      <c r="C395" s="16"/>
      <c r="D395" s="671">
        <v>866</v>
      </c>
      <c r="E395" s="674" t="s">
        <v>286</v>
      </c>
      <c r="F395" s="117" t="s">
        <v>312</v>
      </c>
      <c r="G395" s="671">
        <v>173</v>
      </c>
      <c r="H395" s="671">
        <v>260</v>
      </c>
      <c r="I395" s="671">
        <v>260</v>
      </c>
      <c r="J395" s="671">
        <v>173</v>
      </c>
    </row>
    <row r="396" spans="1:10" ht="15.75">
      <c r="A396" s="670">
        <v>17</v>
      </c>
      <c r="B396" s="769" t="s">
        <v>313</v>
      </c>
      <c r="C396" s="16"/>
      <c r="D396" s="671">
        <v>300</v>
      </c>
      <c r="E396" s="670" t="s">
        <v>314</v>
      </c>
      <c r="F396" s="117" t="s">
        <v>315</v>
      </c>
      <c r="G396" s="671">
        <v>0</v>
      </c>
      <c r="H396" s="86">
        <v>150</v>
      </c>
      <c r="I396" s="671">
        <v>150</v>
      </c>
      <c r="J396" s="671">
        <v>0</v>
      </c>
    </row>
    <row r="397" spans="1:10" ht="15.75">
      <c r="A397" s="670">
        <v>18</v>
      </c>
      <c r="B397" s="769" t="s">
        <v>319</v>
      </c>
      <c r="C397" s="16"/>
      <c r="D397" s="671">
        <v>332</v>
      </c>
      <c r="E397" s="670" t="s">
        <v>314</v>
      </c>
      <c r="F397" s="117" t="s">
        <v>320</v>
      </c>
      <c r="G397" s="671">
        <v>66</v>
      </c>
      <c r="H397" s="86">
        <v>100</v>
      </c>
      <c r="I397" s="671">
        <v>100</v>
      </c>
      <c r="J397" s="671">
        <v>66</v>
      </c>
    </row>
    <row r="398" spans="1:10" ht="15.75">
      <c r="A398" s="670">
        <v>19</v>
      </c>
      <c r="B398" s="179" t="s">
        <v>321</v>
      </c>
      <c r="C398" s="16"/>
      <c r="D398" s="671">
        <v>350</v>
      </c>
      <c r="E398" s="670" t="s">
        <v>314</v>
      </c>
      <c r="F398" s="117" t="s">
        <v>322</v>
      </c>
      <c r="G398" s="671">
        <v>0</v>
      </c>
      <c r="H398" s="86">
        <v>100</v>
      </c>
      <c r="I398" s="671">
        <v>200</v>
      </c>
      <c r="J398" s="671">
        <v>50</v>
      </c>
    </row>
    <row r="399" spans="1:10" ht="15.75">
      <c r="A399" s="670">
        <v>20</v>
      </c>
      <c r="B399" s="769" t="s">
        <v>323</v>
      </c>
      <c r="C399" s="16"/>
      <c r="D399" s="671">
        <v>140</v>
      </c>
      <c r="E399" s="670" t="s">
        <v>286</v>
      </c>
      <c r="F399" s="117" t="s">
        <v>324</v>
      </c>
      <c r="G399" s="671">
        <v>28</v>
      </c>
      <c r="H399" s="86">
        <v>42</v>
      </c>
      <c r="I399" s="671">
        <v>42</v>
      </c>
      <c r="J399" s="671">
        <v>28</v>
      </c>
    </row>
    <row r="400" spans="1:10" ht="15.75">
      <c r="A400" s="670">
        <v>21</v>
      </c>
      <c r="B400" s="769" t="s">
        <v>325</v>
      </c>
      <c r="C400" s="16"/>
      <c r="D400" s="671">
        <v>140</v>
      </c>
      <c r="E400" s="670" t="s">
        <v>317</v>
      </c>
      <c r="F400" s="117" t="s">
        <v>324</v>
      </c>
      <c r="G400" s="671">
        <v>28</v>
      </c>
      <c r="H400" s="86">
        <v>42</v>
      </c>
      <c r="I400" s="671">
        <v>42</v>
      </c>
      <c r="J400" s="671">
        <v>28</v>
      </c>
    </row>
    <row r="401" spans="1:10" ht="15.75">
      <c r="A401" s="670">
        <v>22</v>
      </c>
      <c r="B401" s="769" t="s">
        <v>326</v>
      </c>
      <c r="C401" s="16"/>
      <c r="D401" s="671">
        <v>400</v>
      </c>
      <c r="E401" s="674" t="s">
        <v>286</v>
      </c>
      <c r="F401" s="117" t="s">
        <v>327</v>
      </c>
      <c r="G401" s="671">
        <v>0</v>
      </c>
      <c r="H401" s="86">
        <v>200</v>
      </c>
      <c r="I401" s="671">
        <v>100</v>
      </c>
      <c r="J401" s="671">
        <v>100</v>
      </c>
    </row>
    <row r="402" spans="1:10" ht="15.75">
      <c r="A402" s="670">
        <v>23</v>
      </c>
      <c r="B402" s="769" t="s">
        <v>328</v>
      </c>
      <c r="C402" s="16"/>
      <c r="D402" s="671">
        <v>206</v>
      </c>
      <c r="E402" s="674" t="s">
        <v>286</v>
      </c>
      <c r="F402" s="117" t="s">
        <v>329</v>
      </c>
      <c r="G402" s="671">
        <v>41</v>
      </c>
      <c r="H402" s="671">
        <v>62</v>
      </c>
      <c r="I402" s="671">
        <v>62</v>
      </c>
      <c r="J402" s="671">
        <v>41</v>
      </c>
    </row>
    <row r="403" spans="1:10" ht="25.5">
      <c r="A403" s="670">
        <v>24</v>
      </c>
      <c r="B403" s="769" t="s">
        <v>330</v>
      </c>
      <c r="C403" s="16"/>
      <c r="D403" s="671">
        <v>1000</v>
      </c>
      <c r="E403" s="674" t="s">
        <v>286</v>
      </c>
      <c r="F403" s="117" t="s">
        <v>331</v>
      </c>
      <c r="G403" s="671">
        <v>200</v>
      </c>
      <c r="H403" s="671"/>
      <c r="I403" s="671">
        <v>400</v>
      </c>
      <c r="J403" s="671">
        <v>400</v>
      </c>
    </row>
    <row r="404" spans="1:10" ht="15.75">
      <c r="A404" s="670">
        <v>25</v>
      </c>
      <c r="B404" s="179" t="s">
        <v>332</v>
      </c>
      <c r="C404" s="16"/>
      <c r="D404" s="671">
        <v>60</v>
      </c>
      <c r="E404" s="674" t="s">
        <v>286</v>
      </c>
      <c r="F404" s="117" t="s">
        <v>333</v>
      </c>
      <c r="G404" s="671">
        <v>0</v>
      </c>
      <c r="H404" s="671">
        <v>0</v>
      </c>
      <c r="I404" s="671">
        <v>30</v>
      </c>
      <c r="J404" s="671">
        <v>30</v>
      </c>
    </row>
    <row r="405" spans="1:10" ht="15.75">
      <c r="A405" s="670">
        <v>26</v>
      </c>
      <c r="B405" s="769" t="s">
        <v>334</v>
      </c>
      <c r="C405" s="16"/>
      <c r="D405" s="671">
        <v>100</v>
      </c>
      <c r="E405" s="674" t="s">
        <v>286</v>
      </c>
      <c r="F405" s="117" t="s">
        <v>333</v>
      </c>
      <c r="G405" s="671">
        <v>0</v>
      </c>
      <c r="H405" s="671">
        <v>30</v>
      </c>
      <c r="I405" s="671">
        <v>30</v>
      </c>
      <c r="J405" s="671">
        <v>40</v>
      </c>
    </row>
    <row r="406" spans="1:10" ht="15.75">
      <c r="A406" s="670">
        <v>27</v>
      </c>
      <c r="B406" s="769" t="s">
        <v>335</v>
      </c>
      <c r="C406" s="16"/>
      <c r="D406" s="671">
        <v>30</v>
      </c>
      <c r="E406" s="670" t="s">
        <v>286</v>
      </c>
      <c r="F406" s="117" t="s">
        <v>336</v>
      </c>
      <c r="G406" s="671">
        <v>0</v>
      </c>
      <c r="H406" s="671">
        <v>15</v>
      </c>
      <c r="I406" s="671">
        <v>15</v>
      </c>
      <c r="J406" s="671">
        <v>0</v>
      </c>
    </row>
    <row r="407" spans="1:10" ht="15.75">
      <c r="A407" s="670">
        <v>28</v>
      </c>
      <c r="B407" s="179" t="s">
        <v>337</v>
      </c>
      <c r="C407" s="16"/>
      <c r="D407" s="671">
        <v>30</v>
      </c>
      <c r="E407" s="674" t="s">
        <v>286</v>
      </c>
      <c r="F407" s="117" t="s">
        <v>338</v>
      </c>
      <c r="G407" s="671">
        <v>0</v>
      </c>
      <c r="H407" s="671">
        <v>15</v>
      </c>
      <c r="I407" s="671">
        <v>15</v>
      </c>
      <c r="J407" s="671">
        <v>0</v>
      </c>
    </row>
    <row r="408" spans="1:10" ht="15.75">
      <c r="A408" s="670">
        <v>29</v>
      </c>
      <c r="B408" s="179" t="s">
        <v>339</v>
      </c>
      <c r="C408" s="16"/>
      <c r="D408" s="671">
        <v>1400</v>
      </c>
      <c r="E408" s="670" t="s">
        <v>278</v>
      </c>
      <c r="F408" s="118" t="s">
        <v>340</v>
      </c>
      <c r="G408" s="671">
        <v>280</v>
      </c>
      <c r="H408" s="86">
        <v>420</v>
      </c>
      <c r="I408" s="671">
        <v>420</v>
      </c>
      <c r="J408" s="671">
        <v>280</v>
      </c>
    </row>
    <row r="409" spans="1:10" ht="15.75">
      <c r="A409" s="670">
        <v>30</v>
      </c>
      <c r="B409" s="179" t="s">
        <v>341</v>
      </c>
      <c r="C409" s="16"/>
      <c r="D409" s="671">
        <v>156</v>
      </c>
      <c r="E409" s="674" t="s">
        <v>286</v>
      </c>
      <c r="F409" s="117" t="s">
        <v>340</v>
      </c>
      <c r="G409" s="671">
        <v>31</v>
      </c>
      <c r="H409" s="671">
        <v>47</v>
      </c>
      <c r="I409" s="671">
        <v>47</v>
      </c>
      <c r="J409" s="671">
        <v>31</v>
      </c>
    </row>
    <row r="410" spans="1:10" ht="15.75">
      <c r="A410" s="670">
        <v>31</v>
      </c>
      <c r="B410" s="179" t="s">
        <v>342</v>
      </c>
      <c r="C410" s="16"/>
      <c r="D410" s="671">
        <v>254</v>
      </c>
      <c r="E410" s="674" t="s">
        <v>286</v>
      </c>
      <c r="F410" s="117" t="s">
        <v>340</v>
      </c>
      <c r="G410" s="671">
        <v>51</v>
      </c>
      <c r="H410" s="671">
        <v>76</v>
      </c>
      <c r="I410" s="671">
        <v>76</v>
      </c>
      <c r="J410" s="671">
        <v>51</v>
      </c>
    </row>
    <row r="411" spans="1:10" ht="15.75">
      <c r="A411" s="670">
        <v>32</v>
      </c>
      <c r="B411" s="179" t="s">
        <v>343</v>
      </c>
      <c r="C411" s="16"/>
      <c r="D411" s="671">
        <v>180</v>
      </c>
      <c r="E411" s="674" t="s">
        <v>286</v>
      </c>
      <c r="F411" s="117" t="s">
        <v>340</v>
      </c>
      <c r="G411" s="671">
        <v>36</v>
      </c>
      <c r="H411" s="671">
        <v>54</v>
      </c>
      <c r="I411" s="671">
        <v>54</v>
      </c>
      <c r="J411" s="671">
        <v>36</v>
      </c>
    </row>
    <row r="412" spans="1:10" ht="15.75">
      <c r="A412" s="670">
        <v>33</v>
      </c>
      <c r="B412" s="769" t="s">
        <v>344</v>
      </c>
      <c r="C412" s="16"/>
      <c r="D412" s="671">
        <v>600</v>
      </c>
      <c r="E412" s="674" t="s">
        <v>286</v>
      </c>
      <c r="F412" s="117" t="s">
        <v>340</v>
      </c>
      <c r="G412" s="671">
        <v>120</v>
      </c>
      <c r="H412" s="671">
        <v>180</v>
      </c>
      <c r="I412" s="671">
        <v>180</v>
      </c>
      <c r="J412" s="671">
        <v>120</v>
      </c>
    </row>
    <row r="413" spans="1:10" ht="25.5">
      <c r="A413" s="670">
        <v>34</v>
      </c>
      <c r="B413" s="769" t="s">
        <v>345</v>
      </c>
      <c r="C413" s="16"/>
      <c r="D413" s="671">
        <v>18000</v>
      </c>
      <c r="E413" s="670" t="s">
        <v>346</v>
      </c>
      <c r="F413" s="117" t="s">
        <v>347</v>
      </c>
      <c r="G413" s="86">
        <v>0</v>
      </c>
      <c r="H413" s="86">
        <v>6000</v>
      </c>
      <c r="I413" s="86">
        <v>6000</v>
      </c>
      <c r="J413" s="86">
        <v>6000</v>
      </c>
    </row>
    <row r="414" spans="1:10" ht="15.75">
      <c r="A414" s="670">
        <v>35</v>
      </c>
      <c r="B414" s="179" t="s">
        <v>348</v>
      </c>
      <c r="C414" s="16"/>
      <c r="D414" s="671">
        <v>36</v>
      </c>
      <c r="E414" s="674" t="s">
        <v>314</v>
      </c>
      <c r="F414" s="117" t="s">
        <v>349</v>
      </c>
      <c r="G414" s="671">
        <v>0</v>
      </c>
      <c r="H414" s="671">
        <v>12</v>
      </c>
      <c r="I414" s="671">
        <v>12</v>
      </c>
      <c r="J414" s="671">
        <v>12</v>
      </c>
    </row>
    <row r="415" spans="1:10" ht="15.75">
      <c r="A415" s="670">
        <v>36</v>
      </c>
      <c r="B415" s="179" t="s">
        <v>350</v>
      </c>
      <c r="C415" s="16"/>
      <c r="D415" s="671">
        <v>20</v>
      </c>
      <c r="E415" s="674" t="s">
        <v>314</v>
      </c>
      <c r="F415" s="117" t="s">
        <v>351</v>
      </c>
      <c r="G415" s="671">
        <v>4</v>
      </c>
      <c r="H415" s="671">
        <v>6</v>
      </c>
      <c r="I415" s="671">
        <v>6</v>
      </c>
      <c r="J415" s="671">
        <v>4</v>
      </c>
    </row>
    <row r="416" spans="1:10" ht="15.75">
      <c r="A416" s="670">
        <v>37</v>
      </c>
      <c r="B416" s="769" t="s">
        <v>352</v>
      </c>
      <c r="C416" s="16"/>
      <c r="D416" s="671">
        <v>1000</v>
      </c>
      <c r="E416" s="670" t="s">
        <v>314</v>
      </c>
      <c r="F416" s="117" t="s">
        <v>353</v>
      </c>
      <c r="G416" s="671">
        <v>0</v>
      </c>
      <c r="H416" s="671">
        <v>500</v>
      </c>
      <c r="I416" s="671">
        <v>500</v>
      </c>
      <c r="J416" s="671">
        <v>0</v>
      </c>
    </row>
    <row r="417" spans="1:10" ht="15.75">
      <c r="A417" s="670">
        <v>38</v>
      </c>
      <c r="B417" s="769" t="s">
        <v>354</v>
      </c>
      <c r="C417" s="16"/>
      <c r="D417" s="671">
        <v>160</v>
      </c>
      <c r="E417" s="670" t="s">
        <v>346</v>
      </c>
      <c r="F417" s="117" t="s">
        <v>355</v>
      </c>
      <c r="G417" s="671">
        <v>0</v>
      </c>
      <c r="H417" s="671">
        <v>50</v>
      </c>
      <c r="I417" s="671">
        <v>50</v>
      </c>
      <c r="J417" s="671">
        <v>60</v>
      </c>
    </row>
    <row r="418" spans="1:10" ht="15.75">
      <c r="A418" s="670">
        <v>39</v>
      </c>
      <c r="B418" s="769" t="s">
        <v>356</v>
      </c>
      <c r="C418" s="16"/>
      <c r="D418" s="671">
        <v>5050</v>
      </c>
      <c r="E418" s="670" t="s">
        <v>314</v>
      </c>
      <c r="F418" s="117" t="s">
        <v>357</v>
      </c>
      <c r="G418" s="671">
        <v>1010</v>
      </c>
      <c r="H418" s="671">
        <v>1515</v>
      </c>
      <c r="I418" s="671">
        <v>1515</v>
      </c>
      <c r="J418" s="671">
        <v>1010</v>
      </c>
    </row>
    <row r="419" spans="1:10" ht="15.75">
      <c r="A419" s="670">
        <v>40</v>
      </c>
      <c r="B419" s="769" t="s">
        <v>358</v>
      </c>
      <c r="C419" s="16"/>
      <c r="D419" s="671">
        <v>39000</v>
      </c>
      <c r="E419" s="674" t="s">
        <v>286</v>
      </c>
      <c r="F419" s="117" t="s">
        <v>359</v>
      </c>
      <c r="G419" s="671">
        <v>0</v>
      </c>
      <c r="H419" s="671">
        <v>15000</v>
      </c>
      <c r="I419" s="671">
        <v>15000</v>
      </c>
      <c r="J419" s="671">
        <v>9000</v>
      </c>
    </row>
    <row r="420" spans="1:10" ht="15.75">
      <c r="A420" s="670">
        <v>41</v>
      </c>
      <c r="B420" s="179" t="s">
        <v>360</v>
      </c>
      <c r="C420" s="16"/>
      <c r="D420" s="86">
        <v>84</v>
      </c>
      <c r="E420" s="674" t="s">
        <v>286</v>
      </c>
      <c r="F420" s="117" t="s">
        <v>361</v>
      </c>
      <c r="G420" s="671">
        <v>0</v>
      </c>
      <c r="H420" s="671">
        <v>30</v>
      </c>
      <c r="I420" s="671">
        <v>30</v>
      </c>
      <c r="J420" s="671">
        <v>24</v>
      </c>
    </row>
    <row r="421" spans="1:10" ht="15.75">
      <c r="A421" s="670">
        <v>42</v>
      </c>
      <c r="B421" s="179" t="s">
        <v>362</v>
      </c>
      <c r="C421" s="16"/>
      <c r="D421" s="671">
        <v>20</v>
      </c>
      <c r="E421" s="674" t="s">
        <v>286</v>
      </c>
      <c r="F421" s="117" t="s">
        <v>363</v>
      </c>
      <c r="G421" s="671">
        <v>0</v>
      </c>
      <c r="H421" s="671">
        <v>20</v>
      </c>
      <c r="I421" s="671">
        <v>30</v>
      </c>
      <c r="J421" s="671">
        <v>0</v>
      </c>
    </row>
    <row r="422" spans="1:10" ht="15.75">
      <c r="A422" s="670">
        <v>43</v>
      </c>
      <c r="B422" s="179" t="s">
        <v>364</v>
      </c>
      <c r="C422" s="16"/>
      <c r="D422" s="671">
        <v>30</v>
      </c>
      <c r="E422" s="674" t="s">
        <v>286</v>
      </c>
      <c r="F422" s="117" t="s">
        <v>353</v>
      </c>
      <c r="G422" s="671">
        <v>0</v>
      </c>
      <c r="H422" s="671">
        <v>10</v>
      </c>
      <c r="I422" s="671">
        <v>10</v>
      </c>
      <c r="J422" s="671">
        <v>10</v>
      </c>
    </row>
    <row r="423" spans="1:10" ht="25.5">
      <c r="A423" s="670">
        <v>44</v>
      </c>
      <c r="B423" s="179" t="s">
        <v>365</v>
      </c>
      <c r="C423" s="16"/>
      <c r="D423" s="671">
        <v>10800</v>
      </c>
      <c r="E423" s="674"/>
      <c r="F423" s="117" t="s">
        <v>366</v>
      </c>
      <c r="G423" s="671">
        <v>2160</v>
      </c>
      <c r="H423" s="671">
        <v>3240</v>
      </c>
      <c r="I423" s="671">
        <v>3240</v>
      </c>
      <c r="J423" s="671">
        <v>2160</v>
      </c>
    </row>
    <row r="424" spans="1:10" ht="25.5">
      <c r="A424" s="670">
        <v>45</v>
      </c>
      <c r="B424" s="179" t="s">
        <v>367</v>
      </c>
      <c r="C424" s="16"/>
      <c r="D424" s="671">
        <v>210</v>
      </c>
      <c r="E424" s="674" t="s">
        <v>286</v>
      </c>
      <c r="F424" s="117" t="s">
        <v>368</v>
      </c>
      <c r="G424" s="671">
        <v>42</v>
      </c>
      <c r="H424" s="671">
        <v>63</v>
      </c>
      <c r="I424" s="671">
        <v>63</v>
      </c>
      <c r="J424" s="671">
        <v>42</v>
      </c>
    </row>
    <row r="425" spans="1:10" ht="15.75">
      <c r="A425" s="670">
        <v>46</v>
      </c>
      <c r="B425" s="769" t="s">
        <v>369</v>
      </c>
      <c r="C425" s="16"/>
      <c r="D425" s="671">
        <v>16</v>
      </c>
      <c r="E425" s="670" t="s">
        <v>278</v>
      </c>
      <c r="F425" s="117" t="s">
        <v>370</v>
      </c>
      <c r="G425" s="671">
        <v>3</v>
      </c>
      <c r="H425" s="671">
        <v>5</v>
      </c>
      <c r="I425" s="671">
        <v>5</v>
      </c>
      <c r="J425" s="671">
        <v>3</v>
      </c>
    </row>
    <row r="426" spans="1:10" ht="15.75">
      <c r="A426" s="670">
        <v>47</v>
      </c>
      <c r="B426" s="769" t="s">
        <v>371</v>
      </c>
      <c r="C426" s="16"/>
      <c r="D426" s="671">
        <v>15</v>
      </c>
      <c r="E426" s="674" t="s">
        <v>372</v>
      </c>
      <c r="F426" s="117" t="s">
        <v>373</v>
      </c>
      <c r="G426" s="671">
        <v>0</v>
      </c>
      <c r="H426" s="671">
        <v>5</v>
      </c>
      <c r="I426" s="671">
        <v>5</v>
      </c>
      <c r="J426" s="671">
        <v>5</v>
      </c>
    </row>
    <row r="427" spans="1:10" ht="15.75">
      <c r="A427" s="670">
        <v>48</v>
      </c>
      <c r="B427" s="769" t="s">
        <v>374</v>
      </c>
      <c r="C427" s="16"/>
      <c r="D427" s="671">
        <v>40</v>
      </c>
      <c r="E427" s="674" t="s">
        <v>286</v>
      </c>
      <c r="F427" s="117" t="s">
        <v>375</v>
      </c>
      <c r="G427" s="671">
        <v>8</v>
      </c>
      <c r="H427" s="671">
        <v>12</v>
      </c>
      <c r="I427" s="671">
        <v>12</v>
      </c>
      <c r="J427" s="671">
        <v>8</v>
      </c>
    </row>
    <row r="428" spans="1:10" ht="15.75">
      <c r="A428" s="670">
        <v>49</v>
      </c>
      <c r="B428" s="769" t="s">
        <v>376</v>
      </c>
      <c r="C428" s="16"/>
      <c r="D428" s="671">
        <v>40</v>
      </c>
      <c r="E428" s="674" t="s">
        <v>286</v>
      </c>
      <c r="F428" s="117" t="s">
        <v>377</v>
      </c>
      <c r="G428" s="671">
        <v>8</v>
      </c>
      <c r="H428" s="671">
        <v>12</v>
      </c>
      <c r="I428" s="671">
        <v>12</v>
      </c>
      <c r="J428" s="671">
        <v>8</v>
      </c>
    </row>
    <row r="429" spans="1:10" ht="15.75">
      <c r="A429" s="670">
        <v>50</v>
      </c>
      <c r="B429" s="769" t="s">
        <v>378</v>
      </c>
      <c r="C429" s="16"/>
      <c r="D429" s="671">
        <v>16</v>
      </c>
      <c r="E429" s="674" t="s">
        <v>286</v>
      </c>
      <c r="F429" s="117" t="s">
        <v>379</v>
      </c>
      <c r="G429" s="671">
        <v>3</v>
      </c>
      <c r="H429" s="671">
        <v>5</v>
      </c>
      <c r="I429" s="671">
        <v>5</v>
      </c>
      <c r="J429" s="671">
        <v>3</v>
      </c>
    </row>
    <row r="430" spans="1:10" ht="15.75">
      <c r="A430" s="670">
        <v>51</v>
      </c>
      <c r="B430" s="769" t="s">
        <v>380</v>
      </c>
      <c r="C430" s="16"/>
      <c r="D430" s="671">
        <v>84</v>
      </c>
      <c r="E430" s="674" t="s">
        <v>286</v>
      </c>
      <c r="F430" s="117" t="s">
        <v>379</v>
      </c>
      <c r="G430" s="671">
        <v>17</v>
      </c>
      <c r="H430" s="671">
        <v>25</v>
      </c>
      <c r="I430" s="671">
        <v>25</v>
      </c>
      <c r="J430" s="671">
        <v>17</v>
      </c>
    </row>
    <row r="431" spans="1:10" ht="15.75">
      <c r="A431" s="670">
        <v>52</v>
      </c>
      <c r="B431" s="769" t="s">
        <v>381</v>
      </c>
      <c r="C431" s="16"/>
      <c r="D431" s="671">
        <v>36</v>
      </c>
      <c r="E431" s="674" t="s">
        <v>286</v>
      </c>
      <c r="F431" s="117" t="s">
        <v>379</v>
      </c>
      <c r="G431" s="671">
        <v>7</v>
      </c>
      <c r="H431" s="671">
        <v>11</v>
      </c>
      <c r="I431" s="671">
        <v>11</v>
      </c>
      <c r="J431" s="671">
        <v>7</v>
      </c>
    </row>
    <row r="432" spans="1:10" ht="15.75">
      <c r="A432" s="670">
        <v>53</v>
      </c>
      <c r="B432" s="769" t="s">
        <v>382</v>
      </c>
      <c r="C432" s="16"/>
      <c r="D432" s="671">
        <v>46</v>
      </c>
      <c r="E432" s="674" t="s">
        <v>286</v>
      </c>
      <c r="F432" s="117" t="s">
        <v>379</v>
      </c>
      <c r="G432" s="671">
        <v>9</v>
      </c>
      <c r="H432" s="671">
        <v>14</v>
      </c>
      <c r="I432" s="671">
        <v>14</v>
      </c>
      <c r="J432" s="671">
        <v>9</v>
      </c>
    </row>
    <row r="433" spans="1:10" ht="15.75">
      <c r="A433" s="670">
        <v>54</v>
      </c>
      <c r="B433" s="770" t="s">
        <v>383</v>
      </c>
      <c r="C433" s="16"/>
      <c r="D433" s="671">
        <v>3</v>
      </c>
      <c r="E433" s="674" t="s">
        <v>286</v>
      </c>
      <c r="F433" s="117" t="s">
        <v>384</v>
      </c>
      <c r="G433" s="671"/>
      <c r="H433" s="671">
        <v>1</v>
      </c>
      <c r="I433" s="671">
        <v>1</v>
      </c>
      <c r="J433" s="671">
        <v>1</v>
      </c>
    </row>
    <row r="434" spans="1:10" ht="15.75">
      <c r="A434" s="670">
        <v>55</v>
      </c>
      <c r="B434" s="179" t="s">
        <v>386</v>
      </c>
      <c r="C434" s="16"/>
      <c r="D434" s="671">
        <v>286</v>
      </c>
      <c r="E434" s="670" t="s">
        <v>278</v>
      </c>
      <c r="F434" s="117" t="s">
        <v>387</v>
      </c>
      <c r="G434" s="671">
        <v>57</v>
      </c>
      <c r="H434" s="671">
        <v>86</v>
      </c>
      <c r="I434" s="671">
        <v>86</v>
      </c>
      <c r="J434" s="671">
        <v>57</v>
      </c>
    </row>
    <row r="435" spans="1:10" ht="15.75">
      <c r="A435" s="670">
        <v>56</v>
      </c>
      <c r="B435" s="179" t="s">
        <v>388</v>
      </c>
      <c r="C435" s="16"/>
      <c r="D435" s="671">
        <v>350</v>
      </c>
      <c r="E435" s="670" t="s">
        <v>278</v>
      </c>
      <c r="F435" s="117" t="s">
        <v>389</v>
      </c>
      <c r="G435" s="671">
        <v>70</v>
      </c>
      <c r="H435" s="671">
        <v>105</v>
      </c>
      <c r="I435" s="671">
        <v>105</v>
      </c>
      <c r="J435" s="671">
        <v>70</v>
      </c>
    </row>
    <row r="436" spans="1:10" ht="15.75">
      <c r="A436" s="670">
        <v>57</v>
      </c>
      <c r="B436" s="769" t="s">
        <v>391</v>
      </c>
      <c r="C436" s="16"/>
      <c r="D436" s="671">
        <v>5</v>
      </c>
      <c r="E436" s="674" t="s">
        <v>286</v>
      </c>
      <c r="F436" s="117" t="s">
        <v>392</v>
      </c>
      <c r="G436" s="671">
        <v>1</v>
      </c>
      <c r="H436" s="671">
        <v>2</v>
      </c>
      <c r="I436" s="671">
        <v>2</v>
      </c>
      <c r="J436" s="671"/>
    </row>
    <row r="437" spans="1:10" ht="15.75">
      <c r="A437" s="670">
        <v>58</v>
      </c>
      <c r="B437" s="769" t="s">
        <v>393</v>
      </c>
      <c r="C437" s="16"/>
      <c r="D437" s="671">
        <v>86</v>
      </c>
      <c r="E437" s="674" t="s">
        <v>286</v>
      </c>
      <c r="F437" s="117" t="s">
        <v>394</v>
      </c>
      <c r="G437" s="671">
        <v>17</v>
      </c>
      <c r="H437" s="671">
        <v>26</v>
      </c>
      <c r="I437" s="671">
        <v>26</v>
      </c>
      <c r="J437" s="671">
        <v>17</v>
      </c>
    </row>
    <row r="438" spans="1:10" ht="15.75">
      <c r="A438" s="670">
        <v>59</v>
      </c>
      <c r="B438" s="769" t="s">
        <v>395</v>
      </c>
      <c r="C438" s="16"/>
      <c r="D438" s="671">
        <v>30</v>
      </c>
      <c r="E438" s="674" t="s">
        <v>286</v>
      </c>
      <c r="F438" s="117" t="s">
        <v>396</v>
      </c>
      <c r="G438" s="671">
        <v>0</v>
      </c>
      <c r="H438" s="671">
        <v>10</v>
      </c>
      <c r="I438" s="671">
        <v>10</v>
      </c>
      <c r="J438" s="671">
        <v>10</v>
      </c>
    </row>
    <row r="439" spans="1:10" ht="15.75">
      <c r="A439" s="670">
        <v>60</v>
      </c>
      <c r="B439" s="179" t="s">
        <v>397</v>
      </c>
      <c r="C439" s="16"/>
      <c r="D439" s="671">
        <v>16</v>
      </c>
      <c r="E439" s="674" t="s">
        <v>286</v>
      </c>
      <c r="F439" s="117" t="s">
        <v>398</v>
      </c>
      <c r="G439" s="671">
        <v>0</v>
      </c>
      <c r="H439" s="671">
        <v>6</v>
      </c>
      <c r="I439" s="671">
        <v>6</v>
      </c>
      <c r="J439" s="671">
        <v>4</v>
      </c>
    </row>
    <row r="440" spans="1:10" ht="15.75">
      <c r="A440" s="670">
        <v>61</v>
      </c>
      <c r="B440" s="179" t="s">
        <v>399</v>
      </c>
      <c r="C440" s="16"/>
      <c r="D440" s="671">
        <v>12</v>
      </c>
      <c r="E440" s="674" t="s">
        <v>286</v>
      </c>
      <c r="F440" s="117" t="s">
        <v>398</v>
      </c>
      <c r="G440" s="671">
        <v>0</v>
      </c>
      <c r="H440" s="671">
        <v>4</v>
      </c>
      <c r="I440" s="671">
        <v>4</v>
      </c>
      <c r="J440" s="671">
        <v>3</v>
      </c>
    </row>
    <row r="441" spans="1:10" ht="15.75">
      <c r="A441" s="670">
        <v>62</v>
      </c>
      <c r="B441" s="769" t="s">
        <v>400</v>
      </c>
      <c r="C441" s="16"/>
      <c r="D441" s="671">
        <v>5</v>
      </c>
      <c r="E441" s="674" t="s">
        <v>286</v>
      </c>
      <c r="F441" s="117" t="s">
        <v>401</v>
      </c>
      <c r="G441" s="671">
        <v>0</v>
      </c>
      <c r="H441" s="671">
        <v>2</v>
      </c>
      <c r="I441" s="671">
        <v>3</v>
      </c>
      <c r="J441" s="671">
        <v>0</v>
      </c>
    </row>
    <row r="442" spans="1:10" ht="25.5">
      <c r="A442" s="670">
        <v>63</v>
      </c>
      <c r="B442" s="769" t="s">
        <v>402</v>
      </c>
      <c r="C442" s="16"/>
      <c r="D442" s="671">
        <v>2</v>
      </c>
      <c r="E442" s="674" t="s">
        <v>286</v>
      </c>
      <c r="F442" s="117" t="s">
        <v>403</v>
      </c>
      <c r="G442" s="671">
        <v>0</v>
      </c>
      <c r="H442" s="671">
        <v>1</v>
      </c>
      <c r="I442" s="671">
        <v>1</v>
      </c>
      <c r="J442" s="671">
        <v>0</v>
      </c>
    </row>
    <row r="443" spans="1:10" ht="15.75">
      <c r="A443" s="670">
        <v>64</v>
      </c>
      <c r="B443" s="769" t="s">
        <v>404</v>
      </c>
      <c r="C443" s="16"/>
      <c r="D443" s="671">
        <v>1</v>
      </c>
      <c r="E443" s="674" t="s">
        <v>286</v>
      </c>
      <c r="F443" s="117" t="s">
        <v>405</v>
      </c>
      <c r="G443" s="671">
        <v>0</v>
      </c>
      <c r="H443" s="671">
        <v>0</v>
      </c>
      <c r="I443" s="671">
        <v>0.89999999999999991</v>
      </c>
      <c r="J443" s="671">
        <v>0</v>
      </c>
    </row>
    <row r="444" spans="1:10" ht="15.75">
      <c r="A444" s="670">
        <v>65</v>
      </c>
      <c r="B444" s="179" t="s">
        <v>406</v>
      </c>
      <c r="C444" s="16"/>
      <c r="D444" s="671">
        <v>26</v>
      </c>
      <c r="E444" s="674" t="s">
        <v>286</v>
      </c>
      <c r="F444" s="117" t="s">
        <v>407</v>
      </c>
      <c r="G444" s="671">
        <v>5</v>
      </c>
      <c r="H444" s="671">
        <v>8</v>
      </c>
      <c r="I444" s="671">
        <v>8</v>
      </c>
      <c r="J444" s="671">
        <v>5</v>
      </c>
    </row>
    <row r="445" spans="1:10" ht="15.75">
      <c r="A445" s="670">
        <v>66</v>
      </c>
      <c r="B445" s="179" t="s">
        <v>408</v>
      </c>
      <c r="C445" s="16"/>
      <c r="D445" s="671">
        <v>16</v>
      </c>
      <c r="E445" s="674" t="s">
        <v>286</v>
      </c>
      <c r="F445" s="117" t="s">
        <v>409</v>
      </c>
      <c r="G445" s="671">
        <v>3</v>
      </c>
      <c r="H445" s="671">
        <v>5</v>
      </c>
      <c r="I445" s="671">
        <v>5</v>
      </c>
      <c r="J445" s="671">
        <v>3</v>
      </c>
    </row>
    <row r="446" spans="1:10" ht="26.25">
      <c r="A446" s="1056" t="s">
        <v>2844</v>
      </c>
      <c r="B446" s="1056"/>
      <c r="C446" s="1056"/>
      <c r="D446" s="1056"/>
      <c r="E446" s="1056"/>
      <c r="F446" s="1056"/>
      <c r="G446" s="1056"/>
      <c r="H446" s="1056"/>
      <c r="I446" s="1056"/>
      <c r="J446" s="1056"/>
    </row>
    <row r="447" spans="1:10" ht="15.75">
      <c r="A447" s="1053" t="s">
        <v>411</v>
      </c>
      <c r="B447" s="1053"/>
      <c r="C447" s="1053"/>
      <c r="D447" s="1053"/>
      <c r="E447" s="1053"/>
      <c r="F447" s="1053"/>
      <c r="G447" s="1053"/>
      <c r="H447" s="1053"/>
      <c r="I447" s="1053"/>
      <c r="J447" s="1053"/>
    </row>
    <row r="448" spans="1:10" ht="94.5">
      <c r="A448" s="70">
        <v>1</v>
      </c>
      <c r="B448" s="771" t="s">
        <v>412</v>
      </c>
      <c r="C448" s="674" t="s">
        <v>413</v>
      </c>
      <c r="D448" s="671">
        <v>140</v>
      </c>
      <c r="E448" s="670" t="s">
        <v>414</v>
      </c>
      <c r="F448" s="176" t="s">
        <v>415</v>
      </c>
      <c r="G448" s="670">
        <v>20</v>
      </c>
      <c r="H448" s="670">
        <v>40</v>
      </c>
      <c r="I448" s="670">
        <v>40</v>
      </c>
      <c r="J448" s="670">
        <v>40</v>
      </c>
    </row>
    <row r="449" spans="1:10" ht="31.5">
      <c r="A449" s="70">
        <v>2</v>
      </c>
      <c r="B449" s="771" t="s">
        <v>416</v>
      </c>
      <c r="C449" s="674" t="s">
        <v>417</v>
      </c>
      <c r="D449" s="671">
        <v>2000</v>
      </c>
      <c r="E449" s="670" t="s">
        <v>372</v>
      </c>
      <c r="F449" s="176" t="s">
        <v>418</v>
      </c>
      <c r="G449" s="670"/>
      <c r="H449" s="670">
        <v>700</v>
      </c>
      <c r="I449" s="670">
        <v>700</v>
      </c>
      <c r="J449" s="670">
        <v>600</v>
      </c>
    </row>
    <row r="450" spans="1:10" ht="31.5">
      <c r="A450" s="70">
        <v>3</v>
      </c>
      <c r="B450" s="771" t="s">
        <v>419</v>
      </c>
      <c r="C450" s="674" t="s">
        <v>420</v>
      </c>
      <c r="D450" s="671">
        <v>2500</v>
      </c>
      <c r="E450" s="670" t="s">
        <v>372</v>
      </c>
      <c r="F450" s="176" t="s">
        <v>418</v>
      </c>
      <c r="G450" s="674"/>
      <c r="H450" s="670">
        <v>1000</v>
      </c>
      <c r="I450" s="670">
        <v>1000</v>
      </c>
      <c r="J450" s="670">
        <v>500</v>
      </c>
    </row>
    <row r="451" spans="1:10" ht="78.75">
      <c r="A451" s="670">
        <v>4</v>
      </c>
      <c r="B451" s="135" t="s">
        <v>421</v>
      </c>
      <c r="C451" s="674" t="s">
        <v>422</v>
      </c>
      <c r="D451" s="671">
        <v>3</v>
      </c>
      <c r="E451" s="672" t="s">
        <v>89</v>
      </c>
      <c r="F451" s="176" t="s">
        <v>423</v>
      </c>
      <c r="G451" s="670">
        <v>0</v>
      </c>
      <c r="H451" s="670">
        <v>1</v>
      </c>
      <c r="I451" s="670">
        <v>1</v>
      </c>
      <c r="J451" s="670">
        <v>1</v>
      </c>
    </row>
    <row r="452" spans="1:10" ht="47.25">
      <c r="A452" s="670">
        <v>5</v>
      </c>
      <c r="B452" s="135" t="s">
        <v>424</v>
      </c>
      <c r="C452" s="674" t="s">
        <v>425</v>
      </c>
      <c r="D452" s="671">
        <v>3</v>
      </c>
      <c r="E452" s="672" t="s">
        <v>89</v>
      </c>
      <c r="F452" s="176" t="s">
        <v>426</v>
      </c>
      <c r="G452" s="671">
        <v>0</v>
      </c>
      <c r="H452" s="671">
        <v>1</v>
      </c>
      <c r="I452" s="671">
        <v>1</v>
      </c>
      <c r="J452" s="671">
        <v>1</v>
      </c>
    </row>
    <row r="453" spans="1:10" ht="63">
      <c r="A453" s="670">
        <v>6</v>
      </c>
      <c r="B453" s="771" t="s">
        <v>427</v>
      </c>
      <c r="C453" s="674" t="s">
        <v>428</v>
      </c>
      <c r="D453" s="671">
        <v>3</v>
      </c>
      <c r="E453" s="670" t="s">
        <v>89</v>
      </c>
      <c r="F453" s="176" t="s">
        <v>429</v>
      </c>
      <c r="G453" s="671">
        <v>0</v>
      </c>
      <c r="H453" s="671">
        <v>1</v>
      </c>
      <c r="I453" s="671">
        <v>1</v>
      </c>
      <c r="J453" s="671">
        <v>1</v>
      </c>
    </row>
    <row r="454" spans="1:10" ht="110.25">
      <c r="A454" s="670">
        <v>7</v>
      </c>
      <c r="B454" s="771" t="s">
        <v>430</v>
      </c>
      <c r="C454" s="674" t="s">
        <v>431</v>
      </c>
      <c r="D454" s="671">
        <f t="shared" ref="D454:D486" si="1">G454+H454+I454+J454</f>
        <v>85000</v>
      </c>
      <c r="E454" s="673" t="s">
        <v>432</v>
      </c>
      <c r="F454" s="176" t="s">
        <v>433</v>
      </c>
      <c r="G454" s="671">
        <v>20000</v>
      </c>
      <c r="H454" s="671">
        <v>25000</v>
      </c>
      <c r="I454" s="671">
        <v>25000</v>
      </c>
      <c r="J454" s="671">
        <v>15000</v>
      </c>
    </row>
    <row r="455" spans="1:10" ht="110.25">
      <c r="A455" s="670">
        <v>8</v>
      </c>
      <c r="B455" s="771" t="s">
        <v>434</v>
      </c>
      <c r="C455" s="674" t="s">
        <v>435</v>
      </c>
      <c r="D455" s="671">
        <f t="shared" si="1"/>
        <v>600</v>
      </c>
      <c r="E455" s="670" t="s">
        <v>432</v>
      </c>
      <c r="F455" s="176" t="s">
        <v>436</v>
      </c>
      <c r="G455" s="670"/>
      <c r="H455" s="670">
        <v>200</v>
      </c>
      <c r="I455" s="670">
        <v>200</v>
      </c>
      <c r="J455" s="670">
        <v>200</v>
      </c>
    </row>
    <row r="456" spans="1:10" ht="252">
      <c r="A456" s="670">
        <v>9</v>
      </c>
      <c r="B456" s="771" t="s">
        <v>437</v>
      </c>
      <c r="C456" s="674" t="s">
        <v>438</v>
      </c>
      <c r="D456" s="671">
        <f t="shared" si="1"/>
        <v>1200</v>
      </c>
      <c r="E456" s="673" t="s">
        <v>27</v>
      </c>
      <c r="F456" s="176" t="s">
        <v>439</v>
      </c>
      <c r="G456" s="670">
        <v>200</v>
      </c>
      <c r="H456" s="670">
        <v>400</v>
      </c>
      <c r="I456" s="670">
        <v>400</v>
      </c>
      <c r="J456" s="670">
        <v>200</v>
      </c>
    </row>
    <row r="457" spans="1:10" ht="157.5">
      <c r="A457" s="670">
        <v>10</v>
      </c>
      <c r="B457" s="771" t="s">
        <v>440</v>
      </c>
      <c r="C457" s="674" t="s">
        <v>441</v>
      </c>
      <c r="D457" s="671">
        <f t="shared" si="1"/>
        <v>400</v>
      </c>
      <c r="E457" s="670" t="s">
        <v>372</v>
      </c>
      <c r="F457" s="176" t="s">
        <v>442</v>
      </c>
      <c r="G457" s="670"/>
      <c r="H457" s="670">
        <v>200</v>
      </c>
      <c r="I457" s="670">
        <v>200</v>
      </c>
      <c r="J457" s="670"/>
    </row>
    <row r="458" spans="1:10" ht="157.5">
      <c r="A458" s="670">
        <v>11</v>
      </c>
      <c r="B458" s="771" t="s">
        <v>443</v>
      </c>
      <c r="C458" s="674" t="s">
        <v>444</v>
      </c>
      <c r="D458" s="671">
        <f t="shared" si="1"/>
        <v>400</v>
      </c>
      <c r="E458" s="670" t="s">
        <v>372</v>
      </c>
      <c r="F458" s="176" t="s">
        <v>442</v>
      </c>
      <c r="G458" s="670"/>
      <c r="H458" s="670">
        <v>200</v>
      </c>
      <c r="I458" s="670">
        <v>200</v>
      </c>
      <c r="J458" s="670"/>
    </row>
    <row r="459" spans="1:10" ht="141.75">
      <c r="A459" s="670">
        <v>12</v>
      </c>
      <c r="B459" s="771" t="s">
        <v>445</v>
      </c>
      <c r="C459" s="674" t="s">
        <v>446</v>
      </c>
      <c r="D459" s="671">
        <f t="shared" si="1"/>
        <v>400</v>
      </c>
      <c r="E459" s="670" t="s">
        <v>372</v>
      </c>
      <c r="F459" s="176" t="s">
        <v>442</v>
      </c>
      <c r="G459" s="670"/>
      <c r="H459" s="670">
        <v>200</v>
      </c>
      <c r="I459" s="670">
        <v>200</v>
      </c>
      <c r="J459" s="670"/>
    </row>
    <row r="460" spans="1:10" ht="31.5">
      <c r="A460" s="670">
        <v>13</v>
      </c>
      <c r="B460" s="771" t="s">
        <v>447</v>
      </c>
      <c r="C460" s="674" t="s">
        <v>448</v>
      </c>
      <c r="D460" s="671">
        <v>3000</v>
      </c>
      <c r="E460" s="673" t="s">
        <v>286</v>
      </c>
      <c r="F460" s="176" t="s">
        <v>449</v>
      </c>
      <c r="G460" s="674">
        <v>500</v>
      </c>
      <c r="H460" s="674">
        <v>1000</v>
      </c>
      <c r="I460" s="674">
        <v>1000</v>
      </c>
      <c r="J460" s="674">
        <v>500</v>
      </c>
    </row>
    <row r="461" spans="1:10" ht="15.75">
      <c r="A461" s="670">
        <v>14</v>
      </c>
      <c r="B461" s="772" t="s">
        <v>450</v>
      </c>
      <c r="C461" s="114" t="s">
        <v>451</v>
      </c>
      <c r="D461" s="671">
        <f t="shared" si="1"/>
        <v>40</v>
      </c>
      <c r="E461" s="673" t="s">
        <v>385</v>
      </c>
      <c r="F461" s="176" t="s">
        <v>452</v>
      </c>
      <c r="G461" s="670"/>
      <c r="H461" s="670">
        <v>20</v>
      </c>
      <c r="I461" s="670">
        <v>20</v>
      </c>
      <c r="J461" s="670"/>
    </row>
    <row r="462" spans="1:10" ht="126">
      <c r="A462" s="670">
        <v>15</v>
      </c>
      <c r="B462" s="135" t="s">
        <v>453</v>
      </c>
      <c r="C462" s="674" t="s">
        <v>454</v>
      </c>
      <c r="D462" s="72">
        <v>100</v>
      </c>
      <c r="E462" s="670" t="s">
        <v>89</v>
      </c>
      <c r="F462" s="176" t="s">
        <v>455</v>
      </c>
      <c r="G462" s="670">
        <v>20</v>
      </c>
      <c r="H462" s="670">
        <v>40</v>
      </c>
      <c r="I462" s="670">
        <v>40</v>
      </c>
      <c r="J462" s="670">
        <v>20</v>
      </c>
    </row>
    <row r="463" spans="1:10" ht="110.25">
      <c r="A463" s="670">
        <v>16</v>
      </c>
      <c r="B463" s="771" t="s">
        <v>456</v>
      </c>
      <c r="C463" s="674" t="s">
        <v>457</v>
      </c>
      <c r="D463" s="671">
        <f t="shared" si="1"/>
        <v>16000</v>
      </c>
      <c r="E463" s="672" t="s">
        <v>286</v>
      </c>
      <c r="F463" s="176" t="s">
        <v>458</v>
      </c>
      <c r="G463" s="671"/>
      <c r="H463" s="671">
        <v>6000</v>
      </c>
      <c r="I463" s="671">
        <v>6000</v>
      </c>
      <c r="J463" s="671">
        <v>4000</v>
      </c>
    </row>
    <row r="464" spans="1:10" ht="189">
      <c r="A464" s="670">
        <v>17</v>
      </c>
      <c r="B464" s="771" t="s">
        <v>459</v>
      </c>
      <c r="C464" s="674" t="s">
        <v>460</v>
      </c>
      <c r="D464" s="671">
        <f t="shared" si="1"/>
        <v>200</v>
      </c>
      <c r="E464" s="672" t="s">
        <v>286</v>
      </c>
      <c r="F464" s="176" t="s">
        <v>461</v>
      </c>
      <c r="G464" s="115">
        <v>100</v>
      </c>
      <c r="H464" s="115">
        <v>100</v>
      </c>
      <c r="I464" s="115"/>
      <c r="J464" s="115"/>
    </row>
    <row r="465" spans="1:10" ht="409.5">
      <c r="A465" s="670">
        <v>18</v>
      </c>
      <c r="B465" s="771" t="s">
        <v>462</v>
      </c>
      <c r="C465" s="674" t="s">
        <v>463</v>
      </c>
      <c r="D465" s="671">
        <f t="shared" si="1"/>
        <v>6</v>
      </c>
      <c r="E465" s="673" t="s">
        <v>464</v>
      </c>
      <c r="F465" s="176" t="s">
        <v>465</v>
      </c>
      <c r="G465" s="670">
        <v>6</v>
      </c>
      <c r="H465" s="670"/>
      <c r="I465" s="670"/>
      <c r="J465" s="670"/>
    </row>
    <row r="466" spans="1:10" ht="15.75">
      <c r="A466" s="670">
        <v>19</v>
      </c>
      <c r="B466" s="769" t="s">
        <v>466</v>
      </c>
      <c r="C466" s="674" t="s">
        <v>467</v>
      </c>
      <c r="D466" s="671">
        <f t="shared" si="1"/>
        <v>10</v>
      </c>
      <c r="E466" s="670" t="s">
        <v>314</v>
      </c>
      <c r="F466" s="176" t="s">
        <v>468</v>
      </c>
      <c r="G466" s="670"/>
      <c r="H466" s="670">
        <v>10</v>
      </c>
      <c r="I466" s="670"/>
      <c r="J466" s="670"/>
    </row>
    <row r="467" spans="1:10" ht="409.5">
      <c r="A467" s="670">
        <v>20</v>
      </c>
      <c r="B467" s="135" t="s">
        <v>469</v>
      </c>
      <c r="C467" s="674" t="s">
        <v>470</v>
      </c>
      <c r="D467" s="671">
        <f t="shared" si="1"/>
        <v>10</v>
      </c>
      <c r="E467" s="672" t="s">
        <v>286</v>
      </c>
      <c r="F467" s="176" t="s">
        <v>471</v>
      </c>
      <c r="G467" s="670">
        <v>5</v>
      </c>
      <c r="H467" s="670">
        <v>5</v>
      </c>
      <c r="I467" s="670"/>
      <c r="J467" s="670"/>
    </row>
    <row r="468" spans="1:10" ht="204.75">
      <c r="A468" s="670">
        <v>21</v>
      </c>
      <c r="B468" s="179" t="s">
        <v>472</v>
      </c>
      <c r="C468" s="674" t="s">
        <v>473</v>
      </c>
      <c r="D468" s="671">
        <f t="shared" si="1"/>
        <v>10</v>
      </c>
      <c r="E468" s="672" t="s">
        <v>286</v>
      </c>
      <c r="F468" s="176" t="s">
        <v>474</v>
      </c>
      <c r="G468" s="670">
        <v>4</v>
      </c>
      <c r="H468" s="670">
        <v>4</v>
      </c>
      <c r="I468" s="670">
        <v>2</v>
      </c>
      <c r="J468" s="670"/>
    </row>
    <row r="469" spans="1:10" ht="94.5">
      <c r="A469" s="670">
        <v>22</v>
      </c>
      <c r="B469" s="179" t="s">
        <v>475</v>
      </c>
      <c r="C469" s="116" t="s">
        <v>476</v>
      </c>
      <c r="D469" s="671">
        <f t="shared" si="1"/>
        <v>5</v>
      </c>
      <c r="E469" s="672" t="s">
        <v>286</v>
      </c>
      <c r="F469" s="176" t="s">
        <v>477</v>
      </c>
      <c r="G469" s="670">
        <v>2</v>
      </c>
      <c r="H469" s="670">
        <v>3</v>
      </c>
      <c r="I469" s="670"/>
      <c r="J469" s="670"/>
    </row>
    <row r="470" spans="1:10" ht="94.5">
      <c r="A470" s="670">
        <v>23</v>
      </c>
      <c r="B470" s="179" t="s">
        <v>478</v>
      </c>
      <c r="C470" s="116" t="s">
        <v>479</v>
      </c>
      <c r="D470" s="671">
        <f t="shared" si="1"/>
        <v>80</v>
      </c>
      <c r="E470" s="672" t="s">
        <v>286</v>
      </c>
      <c r="F470" s="176" t="s">
        <v>480</v>
      </c>
      <c r="G470" s="670">
        <v>30</v>
      </c>
      <c r="H470" s="670">
        <v>50</v>
      </c>
      <c r="I470" s="670"/>
      <c r="J470" s="670"/>
    </row>
    <row r="471" spans="1:10" ht="63">
      <c r="A471" s="670">
        <v>24</v>
      </c>
      <c r="B471" s="769" t="s">
        <v>481</v>
      </c>
      <c r="C471" s="674" t="s">
        <v>482</v>
      </c>
      <c r="D471" s="671">
        <f t="shared" si="1"/>
        <v>8</v>
      </c>
      <c r="E471" s="672" t="s">
        <v>286</v>
      </c>
      <c r="F471" s="176" t="s">
        <v>483</v>
      </c>
      <c r="G471" s="670">
        <v>8</v>
      </c>
      <c r="H471" s="670"/>
      <c r="I471" s="670"/>
      <c r="J471" s="670"/>
    </row>
    <row r="472" spans="1:10" ht="189">
      <c r="A472" s="670">
        <v>25</v>
      </c>
      <c r="B472" s="769" t="s">
        <v>484</v>
      </c>
      <c r="C472" s="674" t="s">
        <v>485</v>
      </c>
      <c r="D472" s="671">
        <f t="shared" si="1"/>
        <v>10</v>
      </c>
      <c r="E472" s="672" t="s">
        <v>286</v>
      </c>
      <c r="F472" s="176" t="s">
        <v>486</v>
      </c>
      <c r="G472" s="670">
        <v>10</v>
      </c>
      <c r="H472" s="670"/>
      <c r="I472" s="670"/>
      <c r="J472" s="670"/>
    </row>
    <row r="473" spans="1:10" ht="236.25">
      <c r="A473" s="670">
        <v>26</v>
      </c>
      <c r="B473" s="771" t="s">
        <v>487</v>
      </c>
      <c r="C473" s="674" t="s">
        <v>488</v>
      </c>
      <c r="D473" s="671">
        <f t="shared" si="1"/>
        <v>10</v>
      </c>
      <c r="E473" s="672" t="s">
        <v>286</v>
      </c>
      <c r="F473" s="176" t="s">
        <v>489</v>
      </c>
      <c r="G473" s="670"/>
      <c r="H473" s="670">
        <v>6</v>
      </c>
      <c r="I473" s="670">
        <v>4</v>
      </c>
      <c r="J473" s="670"/>
    </row>
    <row r="474" spans="1:10" ht="126">
      <c r="A474" s="670">
        <v>27</v>
      </c>
      <c r="B474" s="771" t="s">
        <v>490</v>
      </c>
      <c r="C474" s="674" t="s">
        <v>491</v>
      </c>
      <c r="D474" s="671">
        <f t="shared" si="1"/>
        <v>350</v>
      </c>
      <c r="E474" s="672" t="s">
        <v>286</v>
      </c>
      <c r="F474" s="176" t="s">
        <v>492</v>
      </c>
      <c r="G474" s="670">
        <v>100</v>
      </c>
      <c r="H474" s="670">
        <v>100</v>
      </c>
      <c r="I474" s="670">
        <v>100</v>
      </c>
      <c r="J474" s="670">
        <v>50</v>
      </c>
    </row>
    <row r="475" spans="1:10" ht="110.25">
      <c r="A475" s="670">
        <v>28</v>
      </c>
      <c r="B475" s="771" t="s">
        <v>493</v>
      </c>
      <c r="C475" s="674" t="s">
        <v>494</v>
      </c>
      <c r="D475" s="671">
        <f t="shared" si="1"/>
        <v>5000</v>
      </c>
      <c r="E475" s="672" t="s">
        <v>286</v>
      </c>
      <c r="F475" s="176" t="s">
        <v>495</v>
      </c>
      <c r="G475" s="670"/>
      <c r="H475" s="671">
        <v>2000</v>
      </c>
      <c r="I475" s="671">
        <v>2000</v>
      </c>
      <c r="J475" s="670">
        <v>1000</v>
      </c>
    </row>
    <row r="476" spans="1:10" ht="110.25">
      <c r="A476" s="670">
        <v>29</v>
      </c>
      <c r="B476" s="135" t="s">
        <v>496</v>
      </c>
      <c r="C476" s="674" t="s">
        <v>497</v>
      </c>
      <c r="D476" s="671">
        <v>2500</v>
      </c>
      <c r="E476" s="672" t="s">
        <v>27</v>
      </c>
      <c r="F476" s="176" t="s">
        <v>498</v>
      </c>
      <c r="G476" s="674">
        <v>0</v>
      </c>
      <c r="H476" s="674">
        <v>1000</v>
      </c>
      <c r="I476" s="674">
        <v>1000</v>
      </c>
      <c r="J476" s="674">
        <v>500</v>
      </c>
    </row>
    <row r="477" spans="1:10" ht="94.5">
      <c r="A477" s="670">
        <v>30</v>
      </c>
      <c r="B477" s="135" t="s">
        <v>499</v>
      </c>
      <c r="C477" s="674" t="s">
        <v>500</v>
      </c>
      <c r="D477" s="671">
        <v>2500</v>
      </c>
      <c r="E477" s="672" t="s">
        <v>27</v>
      </c>
      <c r="F477" s="176" t="s">
        <v>501</v>
      </c>
      <c r="G477" s="674">
        <v>0</v>
      </c>
      <c r="H477" s="674">
        <v>1000</v>
      </c>
      <c r="I477" s="674">
        <v>1000</v>
      </c>
      <c r="J477" s="674">
        <v>500</v>
      </c>
    </row>
    <row r="478" spans="1:10" ht="94.5">
      <c r="A478" s="670">
        <v>31</v>
      </c>
      <c r="B478" s="135" t="s">
        <v>502</v>
      </c>
      <c r="C478" s="674" t="s">
        <v>503</v>
      </c>
      <c r="D478" s="671">
        <f>G478+H478+I478+J478</f>
        <v>600</v>
      </c>
      <c r="E478" s="672" t="s">
        <v>27</v>
      </c>
      <c r="F478" s="176" t="s">
        <v>501</v>
      </c>
      <c r="G478" s="670">
        <v>200</v>
      </c>
      <c r="H478" s="670">
        <v>200</v>
      </c>
      <c r="I478" s="670">
        <v>200</v>
      </c>
      <c r="J478" s="670"/>
    </row>
    <row r="479" spans="1:10" ht="204.75">
      <c r="A479" s="670">
        <v>32</v>
      </c>
      <c r="B479" s="179" t="s">
        <v>504</v>
      </c>
      <c r="C479" s="674" t="s">
        <v>505</v>
      </c>
      <c r="D479" s="671">
        <f t="shared" si="1"/>
        <v>30</v>
      </c>
      <c r="E479" s="670" t="s">
        <v>464</v>
      </c>
      <c r="F479" s="176" t="s">
        <v>506</v>
      </c>
      <c r="G479" s="670">
        <v>10</v>
      </c>
      <c r="H479" s="670">
        <v>10</v>
      </c>
      <c r="I479" s="670">
        <v>10</v>
      </c>
      <c r="J479" s="670"/>
    </row>
    <row r="480" spans="1:10" ht="299.25">
      <c r="A480" s="670">
        <v>33</v>
      </c>
      <c r="B480" s="179" t="s">
        <v>2830</v>
      </c>
      <c r="C480" s="674" t="s">
        <v>2831</v>
      </c>
      <c r="D480" s="671">
        <v>30</v>
      </c>
      <c r="E480" s="670" t="s">
        <v>464</v>
      </c>
      <c r="F480" s="176" t="s">
        <v>506</v>
      </c>
      <c r="G480" s="670">
        <v>10</v>
      </c>
      <c r="H480" s="670">
        <v>10</v>
      </c>
      <c r="I480" s="670">
        <v>10</v>
      </c>
      <c r="J480" s="670"/>
    </row>
    <row r="481" spans="1:10" ht="47.25">
      <c r="A481" s="670">
        <v>34</v>
      </c>
      <c r="B481" s="179" t="s">
        <v>507</v>
      </c>
      <c r="C481" s="674" t="s">
        <v>508</v>
      </c>
      <c r="D481" s="671">
        <f t="shared" si="1"/>
        <v>1000</v>
      </c>
      <c r="E481" s="670" t="s">
        <v>432</v>
      </c>
      <c r="F481" s="176" t="s">
        <v>509</v>
      </c>
      <c r="G481" s="670">
        <v>1000</v>
      </c>
      <c r="H481" s="670"/>
      <c r="I481" s="670"/>
      <c r="J481" s="670"/>
    </row>
    <row r="482" spans="1:10" ht="315">
      <c r="A482" s="670">
        <v>35</v>
      </c>
      <c r="B482" s="179" t="s">
        <v>510</v>
      </c>
      <c r="C482" s="674" t="s">
        <v>511</v>
      </c>
      <c r="D482" s="671">
        <f t="shared" si="1"/>
        <v>200</v>
      </c>
      <c r="E482" s="670" t="s">
        <v>432</v>
      </c>
      <c r="F482" s="176" t="s">
        <v>509</v>
      </c>
      <c r="G482" s="670">
        <v>200</v>
      </c>
      <c r="H482" s="670"/>
      <c r="I482" s="670"/>
      <c r="J482" s="670"/>
    </row>
    <row r="483" spans="1:10" ht="78.75">
      <c r="A483" s="670">
        <v>36</v>
      </c>
      <c r="B483" s="179" t="s">
        <v>512</v>
      </c>
      <c r="C483" s="674" t="s">
        <v>513</v>
      </c>
      <c r="D483" s="671">
        <f t="shared" si="1"/>
        <v>35000</v>
      </c>
      <c r="E483" s="670" t="s">
        <v>27</v>
      </c>
      <c r="F483" s="176" t="s">
        <v>514</v>
      </c>
      <c r="G483" s="671">
        <v>15000</v>
      </c>
      <c r="H483" s="670">
        <v>20000</v>
      </c>
      <c r="I483" s="670"/>
      <c r="J483" s="670"/>
    </row>
    <row r="484" spans="1:10" ht="204.75">
      <c r="A484" s="670">
        <v>37</v>
      </c>
      <c r="B484" s="179" t="s">
        <v>515</v>
      </c>
      <c r="C484" s="674" t="s">
        <v>516</v>
      </c>
      <c r="D484" s="671">
        <f t="shared" si="1"/>
        <v>30</v>
      </c>
      <c r="E484" s="670"/>
      <c r="F484" s="176" t="s">
        <v>517</v>
      </c>
      <c r="G484" s="671">
        <v>30</v>
      </c>
      <c r="H484" s="670"/>
      <c r="I484" s="670"/>
      <c r="J484" s="670"/>
    </row>
    <row r="485" spans="1:10" ht="204.75">
      <c r="A485" s="670">
        <v>38</v>
      </c>
      <c r="B485" s="179" t="s">
        <v>2838</v>
      </c>
      <c r="C485" s="674" t="s">
        <v>2839</v>
      </c>
      <c r="D485" s="671">
        <f t="shared" si="1"/>
        <v>1000</v>
      </c>
      <c r="E485" s="670"/>
      <c r="F485" s="176"/>
      <c r="G485" s="671">
        <v>500</v>
      </c>
      <c r="H485" s="670">
        <v>500</v>
      </c>
      <c r="I485" s="670"/>
      <c r="J485" s="670"/>
    </row>
    <row r="486" spans="1:10" ht="15.75">
      <c r="A486" s="670">
        <v>39</v>
      </c>
      <c r="B486" s="179" t="s">
        <v>519</v>
      </c>
      <c r="C486" s="674" t="s">
        <v>520</v>
      </c>
      <c r="D486" s="671">
        <f t="shared" si="1"/>
        <v>10</v>
      </c>
      <c r="E486" s="670" t="s">
        <v>278</v>
      </c>
      <c r="F486" s="176" t="s">
        <v>521</v>
      </c>
      <c r="G486" s="671">
        <v>4</v>
      </c>
      <c r="H486" s="670">
        <v>4</v>
      </c>
      <c r="I486" s="670">
        <v>2</v>
      </c>
      <c r="J486" s="670"/>
    </row>
    <row r="487" spans="1:10" ht="15.75">
      <c r="A487" s="1053" t="s">
        <v>529</v>
      </c>
      <c r="B487" s="1053"/>
      <c r="C487" s="1053"/>
      <c r="D487" s="1053"/>
      <c r="E487" s="1053"/>
      <c r="F487" s="1053"/>
      <c r="G487" s="1053"/>
      <c r="H487" s="1053"/>
      <c r="I487" s="1053"/>
      <c r="J487" s="1053"/>
    </row>
    <row r="488" spans="1:10" ht="78.75">
      <c r="A488" s="70">
        <v>40</v>
      </c>
      <c r="B488" s="771" t="s">
        <v>530</v>
      </c>
      <c r="C488" s="674" t="s">
        <v>531</v>
      </c>
      <c r="D488" s="671">
        <f>G488+H488+I488+J488</f>
        <v>3</v>
      </c>
      <c r="E488" s="673" t="s">
        <v>464</v>
      </c>
      <c r="F488" s="176" t="s">
        <v>532</v>
      </c>
      <c r="G488" s="670">
        <v>3</v>
      </c>
      <c r="H488" s="670"/>
      <c r="I488" s="670"/>
      <c r="J488" s="670"/>
    </row>
    <row r="489" spans="1:10" ht="252">
      <c r="A489" s="70">
        <v>41</v>
      </c>
      <c r="B489" s="771" t="s">
        <v>533</v>
      </c>
      <c r="C489" s="674" t="s">
        <v>534</v>
      </c>
      <c r="D489" s="671">
        <f>G489+H489+I489+J489</f>
        <v>4</v>
      </c>
      <c r="E489" s="672" t="s">
        <v>286</v>
      </c>
      <c r="F489" s="176"/>
      <c r="G489" s="670">
        <v>4</v>
      </c>
      <c r="H489" s="670"/>
      <c r="I489" s="670"/>
      <c r="J489" s="670"/>
    </row>
    <row r="490" spans="1:10" ht="15.75">
      <c r="A490" s="1053" t="s">
        <v>535</v>
      </c>
      <c r="B490" s="1053"/>
      <c r="C490" s="1053"/>
      <c r="D490" s="1053"/>
      <c r="E490" s="1053"/>
      <c r="F490" s="1053"/>
      <c r="G490" s="1053"/>
      <c r="H490" s="1053"/>
      <c r="I490" s="1053"/>
      <c r="J490" s="1053"/>
    </row>
    <row r="491" spans="1:10" ht="31.5">
      <c r="A491" s="70">
        <v>42</v>
      </c>
      <c r="B491" s="769" t="s">
        <v>536</v>
      </c>
      <c r="C491" s="674" t="s">
        <v>537</v>
      </c>
      <c r="D491" s="671">
        <f>G491+H491+I491+J491</f>
        <v>2</v>
      </c>
      <c r="E491" s="672" t="s">
        <v>286</v>
      </c>
      <c r="F491" s="176" t="s">
        <v>538</v>
      </c>
      <c r="G491" s="670">
        <v>2</v>
      </c>
      <c r="H491" s="670"/>
      <c r="I491" s="670"/>
      <c r="J491" s="670"/>
    </row>
    <row r="492" spans="1:10" ht="15.75">
      <c r="A492" s="70">
        <v>43</v>
      </c>
      <c r="B492" s="769" t="s">
        <v>539</v>
      </c>
      <c r="C492" s="674" t="s">
        <v>540</v>
      </c>
      <c r="D492" s="671">
        <f>G492+H492+I492+J492</f>
        <v>2</v>
      </c>
      <c r="E492" s="672" t="s">
        <v>286</v>
      </c>
      <c r="F492" s="675"/>
      <c r="G492" s="670">
        <v>2</v>
      </c>
      <c r="H492" s="670"/>
      <c r="I492" s="670"/>
      <c r="J492" s="670"/>
    </row>
    <row r="493" spans="1:10" ht="15.75">
      <c r="A493" s="70">
        <v>44</v>
      </c>
      <c r="B493" s="769" t="s">
        <v>541</v>
      </c>
      <c r="C493" s="674"/>
      <c r="D493" s="671">
        <f>G493+H493+I493+J493</f>
        <v>2</v>
      </c>
      <c r="E493" s="672" t="s">
        <v>286</v>
      </c>
      <c r="F493" s="675"/>
      <c r="G493" s="670">
        <v>2</v>
      </c>
      <c r="H493" s="670"/>
      <c r="I493" s="670"/>
      <c r="J493" s="670"/>
    </row>
    <row r="494" spans="1:10" ht="15.75">
      <c r="A494" s="1053" t="s">
        <v>542</v>
      </c>
      <c r="B494" s="1053"/>
      <c r="C494" s="1053"/>
      <c r="D494" s="1053"/>
      <c r="E494" s="1053"/>
      <c r="F494" s="1053"/>
      <c r="G494" s="1053"/>
      <c r="H494" s="1053"/>
      <c r="I494" s="1053"/>
      <c r="J494" s="1053"/>
    </row>
    <row r="495" spans="1:10" ht="31.5">
      <c r="A495" s="70">
        <v>45</v>
      </c>
      <c r="B495" s="135" t="s">
        <v>543</v>
      </c>
      <c r="C495" s="674" t="s">
        <v>544</v>
      </c>
      <c r="D495" s="671">
        <f t="shared" ref="D495:D500" si="2">G495+H495+I495+J495</f>
        <v>220</v>
      </c>
      <c r="E495" s="672" t="s">
        <v>89</v>
      </c>
      <c r="F495" s="176" t="s">
        <v>545</v>
      </c>
      <c r="G495" s="671">
        <v>40</v>
      </c>
      <c r="H495" s="671">
        <v>60</v>
      </c>
      <c r="I495" s="671">
        <v>60</v>
      </c>
      <c r="J495" s="671">
        <v>60</v>
      </c>
    </row>
    <row r="496" spans="1:10" ht="31.5">
      <c r="A496" s="70">
        <v>46</v>
      </c>
      <c r="B496" s="135" t="s">
        <v>546</v>
      </c>
      <c r="C496" s="674" t="s">
        <v>547</v>
      </c>
      <c r="D496" s="671">
        <f t="shared" si="2"/>
        <v>230000</v>
      </c>
      <c r="E496" s="672" t="s">
        <v>548</v>
      </c>
      <c r="F496" s="176" t="s">
        <v>549</v>
      </c>
      <c r="G496" s="671">
        <v>40000</v>
      </c>
      <c r="H496" s="671">
        <v>65000</v>
      </c>
      <c r="I496" s="671">
        <v>65000</v>
      </c>
      <c r="J496" s="671">
        <v>60000</v>
      </c>
    </row>
    <row r="497" spans="1:10" ht="15.75">
      <c r="A497" s="70">
        <v>47</v>
      </c>
      <c r="B497" s="135" t="s">
        <v>550</v>
      </c>
      <c r="C497" s="674" t="s">
        <v>550</v>
      </c>
      <c r="D497" s="671">
        <f t="shared" si="2"/>
        <v>13000</v>
      </c>
      <c r="E497" s="672" t="s">
        <v>286</v>
      </c>
      <c r="F497" s="176" t="s">
        <v>551</v>
      </c>
      <c r="G497" s="671"/>
      <c r="H497" s="671">
        <v>6000</v>
      </c>
      <c r="I497" s="671">
        <v>7000</v>
      </c>
      <c r="J497" s="671"/>
    </row>
    <row r="498" spans="1:10" ht="15.75">
      <c r="A498" s="670">
        <v>48</v>
      </c>
      <c r="B498" s="135" t="s">
        <v>552</v>
      </c>
      <c r="C498" s="674" t="s">
        <v>553</v>
      </c>
      <c r="D498" s="671">
        <f t="shared" si="2"/>
        <v>72000</v>
      </c>
      <c r="E498" s="672" t="s">
        <v>432</v>
      </c>
      <c r="F498" s="176" t="s">
        <v>554</v>
      </c>
      <c r="G498" s="671">
        <v>20000</v>
      </c>
      <c r="H498" s="671">
        <v>30000</v>
      </c>
      <c r="I498" s="671">
        <v>12000</v>
      </c>
      <c r="J498" s="671">
        <v>10000</v>
      </c>
    </row>
    <row r="499" spans="1:10" ht="31.5">
      <c r="A499" s="670">
        <v>49</v>
      </c>
      <c r="B499" s="179" t="s">
        <v>555</v>
      </c>
      <c r="C499" s="674" t="s">
        <v>556</v>
      </c>
      <c r="D499" s="671">
        <f t="shared" si="2"/>
        <v>10000</v>
      </c>
      <c r="E499" s="674" t="s">
        <v>27</v>
      </c>
      <c r="F499" s="176" t="s">
        <v>557</v>
      </c>
      <c r="G499" s="671">
        <v>5000</v>
      </c>
      <c r="H499" s="670">
        <v>5000</v>
      </c>
      <c r="I499" s="670"/>
      <c r="J499" s="670"/>
    </row>
    <row r="500" spans="1:10" ht="15.75">
      <c r="A500" s="670">
        <v>50</v>
      </c>
      <c r="B500" s="179" t="s">
        <v>558</v>
      </c>
      <c r="C500" s="674" t="s">
        <v>559</v>
      </c>
      <c r="D500" s="671">
        <f t="shared" si="2"/>
        <v>10000</v>
      </c>
      <c r="E500" s="672" t="s">
        <v>286</v>
      </c>
      <c r="F500" s="176" t="s">
        <v>557</v>
      </c>
      <c r="G500" s="671">
        <v>5000</v>
      </c>
      <c r="H500" s="670">
        <v>5000</v>
      </c>
      <c r="I500" s="670"/>
      <c r="J500" s="670"/>
    </row>
    <row r="501" spans="1:10" ht="26.25">
      <c r="A501" s="1029" t="s">
        <v>2845</v>
      </c>
      <c r="B501" s="1029"/>
      <c r="C501" s="1029"/>
      <c r="D501" s="1029"/>
      <c r="E501" s="1029"/>
      <c r="F501" s="1029"/>
      <c r="G501" s="1029"/>
      <c r="H501" s="1029"/>
      <c r="I501" s="1029"/>
      <c r="J501" s="1029"/>
    </row>
    <row r="502" spans="1:10" ht="15.75">
      <c r="A502" s="1053" t="s">
        <v>1218</v>
      </c>
      <c r="B502" s="1053"/>
      <c r="C502" s="1053"/>
      <c r="D502" s="1053"/>
      <c r="E502" s="1053"/>
      <c r="F502" s="1053"/>
      <c r="G502" s="1053"/>
      <c r="H502" s="1053"/>
      <c r="I502" s="1053"/>
      <c r="J502" s="1053"/>
    </row>
    <row r="503" spans="1:10" ht="15.75">
      <c r="A503" s="67">
        <v>1</v>
      </c>
      <c r="B503" s="773" t="s">
        <v>1004</v>
      </c>
      <c r="C503" s="453" t="s">
        <v>1005</v>
      </c>
      <c r="D503" s="84">
        <v>40</v>
      </c>
      <c r="E503" s="750" t="s">
        <v>414</v>
      </c>
      <c r="F503" s="750"/>
      <c r="G503" s="76"/>
      <c r="H503" s="76">
        <v>20</v>
      </c>
      <c r="I503" s="76">
        <f>D503/4</f>
        <v>10</v>
      </c>
      <c r="J503" s="76">
        <f>D503/4</f>
        <v>10</v>
      </c>
    </row>
    <row r="504" spans="1:10" ht="15.75">
      <c r="A504" s="67">
        <v>2</v>
      </c>
      <c r="B504" s="773" t="s">
        <v>1006</v>
      </c>
      <c r="C504" s="453"/>
      <c r="D504" s="69">
        <v>400</v>
      </c>
      <c r="E504" s="750" t="s">
        <v>27</v>
      </c>
      <c r="F504" s="750"/>
      <c r="G504" s="76"/>
      <c r="H504" s="76">
        <v>200</v>
      </c>
      <c r="I504" s="76">
        <f>D504/4</f>
        <v>100</v>
      </c>
      <c r="J504" s="76">
        <f>D504/4</f>
        <v>100</v>
      </c>
    </row>
    <row r="505" spans="1:10" ht="15.75">
      <c r="A505" s="67">
        <v>3</v>
      </c>
      <c r="B505" s="773" t="s">
        <v>1007</v>
      </c>
      <c r="C505" s="453" t="s">
        <v>1008</v>
      </c>
      <c r="D505" s="69">
        <v>40</v>
      </c>
      <c r="E505" s="750" t="s">
        <v>414</v>
      </c>
      <c r="F505" s="750"/>
      <c r="G505" s="76"/>
      <c r="H505" s="76">
        <v>20</v>
      </c>
      <c r="I505" s="76">
        <f>D505/4</f>
        <v>10</v>
      </c>
      <c r="J505" s="76">
        <f>D505/4</f>
        <v>10</v>
      </c>
    </row>
    <row r="506" spans="1:10" ht="15.75">
      <c r="A506" s="67">
        <v>4</v>
      </c>
      <c r="B506" s="773" t="s">
        <v>1009</v>
      </c>
      <c r="C506" s="453" t="s">
        <v>1010</v>
      </c>
      <c r="D506" s="69">
        <v>40</v>
      </c>
      <c r="E506" s="750" t="s">
        <v>414</v>
      </c>
      <c r="F506" s="750"/>
      <c r="G506" s="76"/>
      <c r="H506" s="76">
        <v>20</v>
      </c>
      <c r="I506" s="76">
        <f>D506/4</f>
        <v>10</v>
      </c>
      <c r="J506" s="76">
        <f>D506/4</f>
        <v>10</v>
      </c>
    </row>
    <row r="507" spans="1:10" ht="15.75">
      <c r="A507" s="453">
        <v>5</v>
      </c>
      <c r="B507" s="773" t="s">
        <v>1011</v>
      </c>
      <c r="C507" s="453" t="s">
        <v>1012</v>
      </c>
      <c r="D507" s="69">
        <v>5</v>
      </c>
      <c r="E507" s="750" t="s">
        <v>414</v>
      </c>
      <c r="F507" s="750"/>
      <c r="G507" s="76"/>
      <c r="H507" s="76">
        <v>0</v>
      </c>
      <c r="I507" s="76">
        <v>5</v>
      </c>
      <c r="J507" s="76"/>
    </row>
    <row r="508" spans="1:10" ht="31.5">
      <c r="A508" s="453">
        <v>6</v>
      </c>
      <c r="B508" s="773" t="s">
        <v>1013</v>
      </c>
      <c r="C508" s="453" t="s">
        <v>1014</v>
      </c>
      <c r="D508" s="69">
        <v>240000</v>
      </c>
      <c r="E508" s="452" t="s">
        <v>372</v>
      </c>
      <c r="F508" s="452"/>
      <c r="G508" s="69">
        <f>D508/4</f>
        <v>60000</v>
      </c>
      <c r="H508" s="69">
        <f>D508/4</f>
        <v>60000</v>
      </c>
      <c r="I508" s="69">
        <f>D508/4</f>
        <v>60000</v>
      </c>
      <c r="J508" s="69">
        <f>D508/4</f>
        <v>60000</v>
      </c>
    </row>
    <row r="509" spans="1:10" ht="15.75">
      <c r="A509" s="453">
        <v>7</v>
      </c>
      <c r="B509" s="773" t="s">
        <v>1015</v>
      </c>
      <c r="C509" s="452" t="s">
        <v>1016</v>
      </c>
      <c r="D509" s="76">
        <v>40</v>
      </c>
      <c r="E509" s="453" t="s">
        <v>414</v>
      </c>
      <c r="F509" s="453"/>
      <c r="G509" s="76">
        <v>10</v>
      </c>
      <c r="H509" s="76">
        <v>10</v>
      </c>
      <c r="I509" s="76">
        <v>10</v>
      </c>
      <c r="J509" s="76">
        <v>10</v>
      </c>
    </row>
    <row r="510" spans="1:10" ht="15.75">
      <c r="A510" s="453">
        <v>8</v>
      </c>
      <c r="B510" s="773" t="s">
        <v>1017</v>
      </c>
      <c r="C510" s="453" t="s">
        <v>1018</v>
      </c>
      <c r="D510" s="69">
        <v>70</v>
      </c>
      <c r="E510" s="750" t="s">
        <v>414</v>
      </c>
      <c r="F510" s="750"/>
      <c r="G510" s="76">
        <f>D510/4</f>
        <v>17.5</v>
      </c>
      <c r="H510" s="76">
        <v>20</v>
      </c>
      <c r="I510" s="76">
        <f>D510/4</f>
        <v>17.5</v>
      </c>
      <c r="J510" s="76">
        <v>20</v>
      </c>
    </row>
    <row r="511" spans="1:10" ht="15.75">
      <c r="A511" s="453">
        <v>9</v>
      </c>
      <c r="B511" s="773" t="s">
        <v>1019</v>
      </c>
      <c r="C511" s="750" t="s">
        <v>1020</v>
      </c>
      <c r="D511" s="69">
        <v>300</v>
      </c>
      <c r="E511" s="452" t="s">
        <v>126</v>
      </c>
      <c r="F511" s="452"/>
      <c r="G511" s="76">
        <f>D511/4</f>
        <v>75</v>
      </c>
      <c r="H511" s="76">
        <f>D511/4</f>
        <v>75</v>
      </c>
      <c r="I511" s="76">
        <f>D511/4</f>
        <v>75</v>
      </c>
      <c r="J511" s="76">
        <f>D511/4</f>
        <v>75</v>
      </c>
    </row>
    <row r="512" spans="1:10" ht="15.75">
      <c r="A512" s="453">
        <v>10</v>
      </c>
      <c r="B512" s="773" t="s">
        <v>1021</v>
      </c>
      <c r="C512" s="750" t="s">
        <v>1022</v>
      </c>
      <c r="D512" s="69">
        <v>1000</v>
      </c>
      <c r="E512" s="452" t="s">
        <v>126</v>
      </c>
      <c r="F512" s="452"/>
      <c r="G512" s="76"/>
      <c r="H512" s="76">
        <v>500</v>
      </c>
      <c r="I512" s="76"/>
      <c r="J512" s="76">
        <v>500</v>
      </c>
    </row>
    <row r="513" spans="1:10" ht="15.75">
      <c r="A513" s="453">
        <v>11</v>
      </c>
      <c r="B513" s="773" t="s">
        <v>1023</v>
      </c>
      <c r="C513" s="750"/>
      <c r="D513" s="69">
        <v>200</v>
      </c>
      <c r="E513" s="452" t="s">
        <v>126</v>
      </c>
      <c r="F513" s="452"/>
      <c r="G513" s="76"/>
      <c r="H513" s="76">
        <v>200</v>
      </c>
      <c r="I513" s="76"/>
      <c r="J513" s="76"/>
    </row>
    <row r="514" spans="1:10" ht="15.75">
      <c r="A514" s="453">
        <v>12</v>
      </c>
      <c r="B514" s="773" t="s">
        <v>4439</v>
      </c>
      <c r="C514" s="750"/>
      <c r="D514" s="69">
        <v>10000</v>
      </c>
      <c r="E514" s="452" t="s">
        <v>126</v>
      </c>
      <c r="F514" s="452"/>
      <c r="G514" s="76"/>
      <c r="H514" s="76">
        <v>3000</v>
      </c>
      <c r="I514" s="76">
        <v>3000</v>
      </c>
      <c r="J514" s="76">
        <v>4000</v>
      </c>
    </row>
    <row r="515" spans="1:10" ht="15.75">
      <c r="A515" s="453">
        <v>13</v>
      </c>
      <c r="B515" s="773" t="s">
        <v>4438</v>
      </c>
      <c r="C515" s="750"/>
      <c r="D515" s="69">
        <v>10000</v>
      </c>
      <c r="E515" s="452" t="s">
        <v>126</v>
      </c>
      <c r="F515" s="452"/>
      <c r="G515" s="76"/>
      <c r="H515" s="76">
        <v>3000</v>
      </c>
      <c r="I515" s="76">
        <v>3000</v>
      </c>
      <c r="J515" s="76">
        <v>4000</v>
      </c>
    </row>
    <row r="516" spans="1:10" ht="15.75">
      <c r="A516" s="453">
        <v>14</v>
      </c>
      <c r="B516" s="773" t="s">
        <v>1024</v>
      </c>
      <c r="C516" s="453" t="s">
        <v>1025</v>
      </c>
      <c r="D516" s="69">
        <v>1000</v>
      </c>
      <c r="E516" s="750" t="s">
        <v>27</v>
      </c>
      <c r="F516" s="750"/>
      <c r="G516" s="76">
        <f t="shared" ref="G516:G527" si="3">D516/4</f>
        <v>250</v>
      </c>
      <c r="H516" s="76">
        <f t="shared" ref="H516:H527" si="4">D516/4</f>
        <v>250</v>
      </c>
      <c r="I516" s="76">
        <f t="shared" ref="I516:I527" si="5">D516/4</f>
        <v>250</v>
      </c>
      <c r="J516" s="76">
        <f t="shared" ref="J516:J527" si="6">D516/4</f>
        <v>250</v>
      </c>
    </row>
    <row r="517" spans="1:10" ht="15.75">
      <c r="A517" s="453">
        <v>15</v>
      </c>
      <c r="B517" s="773" t="s">
        <v>1026</v>
      </c>
      <c r="C517" s="750" t="s">
        <v>1027</v>
      </c>
      <c r="D517" s="69">
        <v>380</v>
      </c>
      <c r="E517" s="750" t="s">
        <v>693</v>
      </c>
      <c r="F517" s="750"/>
      <c r="G517" s="76">
        <f t="shared" si="3"/>
        <v>95</v>
      </c>
      <c r="H517" s="76">
        <f t="shared" si="4"/>
        <v>95</v>
      </c>
      <c r="I517" s="76">
        <f t="shared" si="5"/>
        <v>95</v>
      </c>
      <c r="J517" s="76">
        <f t="shared" si="6"/>
        <v>95</v>
      </c>
    </row>
    <row r="518" spans="1:10" ht="15.75">
      <c r="A518" s="453">
        <v>16</v>
      </c>
      <c r="B518" s="773" t="s">
        <v>1028</v>
      </c>
      <c r="C518" s="750" t="s">
        <v>1029</v>
      </c>
      <c r="D518" s="69">
        <v>1400</v>
      </c>
      <c r="E518" s="750" t="s">
        <v>693</v>
      </c>
      <c r="F518" s="750"/>
      <c r="G518" s="76">
        <f t="shared" si="3"/>
        <v>350</v>
      </c>
      <c r="H518" s="76">
        <f t="shared" si="4"/>
        <v>350</v>
      </c>
      <c r="I518" s="76">
        <f t="shared" si="5"/>
        <v>350</v>
      </c>
      <c r="J518" s="76">
        <f t="shared" si="6"/>
        <v>350</v>
      </c>
    </row>
    <row r="519" spans="1:10" ht="15.75">
      <c r="A519" s="453">
        <v>17</v>
      </c>
      <c r="B519" s="773" t="s">
        <v>1030</v>
      </c>
      <c r="C519" s="452" t="s">
        <v>1031</v>
      </c>
      <c r="D519" s="69">
        <v>300</v>
      </c>
      <c r="E519" s="750" t="s">
        <v>27</v>
      </c>
      <c r="F519" s="750"/>
      <c r="G519" s="76">
        <f t="shared" si="3"/>
        <v>75</v>
      </c>
      <c r="H519" s="76">
        <f t="shared" si="4"/>
        <v>75</v>
      </c>
      <c r="I519" s="76">
        <f t="shared" si="5"/>
        <v>75</v>
      </c>
      <c r="J519" s="76">
        <f t="shared" si="6"/>
        <v>75</v>
      </c>
    </row>
    <row r="520" spans="1:10" ht="15.75">
      <c r="A520" s="453">
        <v>18</v>
      </c>
      <c r="B520" s="773" t="s">
        <v>1032</v>
      </c>
      <c r="C520" s="452" t="s">
        <v>1031</v>
      </c>
      <c r="D520" s="69">
        <v>40</v>
      </c>
      <c r="E520" s="750" t="s">
        <v>27</v>
      </c>
      <c r="F520" s="750"/>
      <c r="G520" s="76">
        <f t="shared" si="3"/>
        <v>10</v>
      </c>
      <c r="H520" s="76">
        <f t="shared" si="4"/>
        <v>10</v>
      </c>
      <c r="I520" s="76">
        <f t="shared" si="5"/>
        <v>10</v>
      </c>
      <c r="J520" s="76">
        <f t="shared" si="6"/>
        <v>10</v>
      </c>
    </row>
    <row r="521" spans="1:10" ht="15.75">
      <c r="A521" s="453">
        <v>19</v>
      </c>
      <c r="B521" s="773" t="s">
        <v>1033</v>
      </c>
      <c r="C521" s="452" t="s">
        <v>1031</v>
      </c>
      <c r="D521" s="69">
        <v>1000</v>
      </c>
      <c r="E521" s="750" t="s">
        <v>27</v>
      </c>
      <c r="F521" s="750"/>
      <c r="G521" s="76">
        <f t="shared" si="3"/>
        <v>250</v>
      </c>
      <c r="H521" s="76">
        <f t="shared" si="4"/>
        <v>250</v>
      </c>
      <c r="I521" s="76">
        <f t="shared" si="5"/>
        <v>250</v>
      </c>
      <c r="J521" s="76">
        <f t="shared" si="6"/>
        <v>250</v>
      </c>
    </row>
    <row r="522" spans="1:10" ht="15.75">
      <c r="A522" s="453">
        <v>20</v>
      </c>
      <c r="B522" s="773" t="s">
        <v>1034</v>
      </c>
      <c r="C522" s="452" t="s">
        <v>1031</v>
      </c>
      <c r="D522" s="69">
        <v>100</v>
      </c>
      <c r="E522" s="750" t="s">
        <v>27</v>
      </c>
      <c r="F522" s="750"/>
      <c r="G522" s="76">
        <f t="shared" si="3"/>
        <v>25</v>
      </c>
      <c r="H522" s="76">
        <f t="shared" si="4"/>
        <v>25</v>
      </c>
      <c r="I522" s="76">
        <f t="shared" si="5"/>
        <v>25</v>
      </c>
      <c r="J522" s="76">
        <f t="shared" si="6"/>
        <v>25</v>
      </c>
    </row>
    <row r="523" spans="1:10" ht="15.75">
      <c r="A523" s="453">
        <v>21</v>
      </c>
      <c r="B523" s="773" t="s">
        <v>1035</v>
      </c>
      <c r="C523" s="453" t="s">
        <v>1036</v>
      </c>
      <c r="D523" s="69">
        <v>45</v>
      </c>
      <c r="E523" s="750" t="s">
        <v>414</v>
      </c>
      <c r="F523" s="750"/>
      <c r="G523" s="76">
        <v>0</v>
      </c>
      <c r="H523" s="76">
        <v>10</v>
      </c>
      <c r="I523" s="76">
        <v>10</v>
      </c>
      <c r="J523" s="76">
        <v>25</v>
      </c>
    </row>
    <row r="524" spans="1:10" ht="15.75">
      <c r="A524" s="453">
        <v>22</v>
      </c>
      <c r="B524" s="773" t="s">
        <v>1037</v>
      </c>
      <c r="C524" s="453"/>
      <c r="D524" s="69">
        <v>15</v>
      </c>
      <c r="E524" s="750" t="s">
        <v>414</v>
      </c>
      <c r="F524" s="750"/>
      <c r="G524" s="76">
        <f t="shared" si="3"/>
        <v>3.75</v>
      </c>
      <c r="H524" s="76">
        <f t="shared" si="4"/>
        <v>3.75</v>
      </c>
      <c r="I524" s="76">
        <f t="shared" si="5"/>
        <v>3.75</v>
      </c>
      <c r="J524" s="76">
        <f t="shared" si="6"/>
        <v>3.75</v>
      </c>
    </row>
    <row r="525" spans="1:10" ht="15.75">
      <c r="A525" s="453">
        <v>23</v>
      </c>
      <c r="B525" s="773" t="s">
        <v>1038</v>
      </c>
      <c r="C525" s="453" t="s">
        <v>1039</v>
      </c>
      <c r="D525" s="69">
        <v>14</v>
      </c>
      <c r="E525" s="750" t="s">
        <v>414</v>
      </c>
      <c r="F525" s="750"/>
      <c r="G525" s="76"/>
      <c r="H525" s="76">
        <v>7</v>
      </c>
      <c r="I525" s="76"/>
      <c r="J525" s="76">
        <v>7</v>
      </c>
    </row>
    <row r="526" spans="1:10" ht="15.75">
      <c r="A526" s="453">
        <v>24</v>
      </c>
      <c r="B526" s="773" t="s">
        <v>1040</v>
      </c>
      <c r="C526" s="453" t="s">
        <v>1041</v>
      </c>
      <c r="D526" s="69">
        <v>14</v>
      </c>
      <c r="E526" s="750" t="s">
        <v>414</v>
      </c>
      <c r="F526" s="750"/>
      <c r="G526" s="76" t="s">
        <v>1280</v>
      </c>
      <c r="H526" s="76">
        <v>7</v>
      </c>
      <c r="I526" s="76" t="s">
        <v>1280</v>
      </c>
      <c r="J526" s="76">
        <v>7</v>
      </c>
    </row>
    <row r="527" spans="1:10" ht="15.75">
      <c r="A527" s="453">
        <v>25</v>
      </c>
      <c r="B527" s="773" t="s">
        <v>1042</v>
      </c>
      <c r="C527" s="453" t="s">
        <v>1043</v>
      </c>
      <c r="D527" s="69">
        <v>500</v>
      </c>
      <c r="E527" s="750" t="s">
        <v>27</v>
      </c>
      <c r="F527" s="750"/>
      <c r="G527" s="76">
        <f t="shared" si="3"/>
        <v>125</v>
      </c>
      <c r="H527" s="76">
        <f t="shared" si="4"/>
        <v>125</v>
      </c>
      <c r="I527" s="76">
        <f t="shared" si="5"/>
        <v>125</v>
      </c>
      <c r="J527" s="76">
        <f t="shared" si="6"/>
        <v>125</v>
      </c>
    </row>
    <row r="528" spans="1:10" ht="15.75">
      <c r="A528" s="453">
        <v>26</v>
      </c>
      <c r="B528" s="773" t="s">
        <v>1044</v>
      </c>
      <c r="C528" s="453"/>
      <c r="D528" s="69">
        <v>40</v>
      </c>
      <c r="E528" s="750" t="s">
        <v>1176</v>
      </c>
      <c r="F528" s="750"/>
      <c r="G528" s="76">
        <v>20</v>
      </c>
      <c r="H528" s="76"/>
      <c r="I528" s="76">
        <v>20</v>
      </c>
      <c r="J528" s="76"/>
    </row>
    <row r="529" spans="1:10" ht="15.75">
      <c r="A529" s="453">
        <v>27</v>
      </c>
      <c r="B529" s="773" t="s">
        <v>1045</v>
      </c>
      <c r="C529" s="453"/>
      <c r="D529" s="69">
        <v>80</v>
      </c>
      <c r="E529" s="750" t="s">
        <v>286</v>
      </c>
      <c r="F529" s="750"/>
      <c r="G529" s="76"/>
      <c r="H529" s="76"/>
      <c r="I529" s="76">
        <v>80</v>
      </c>
      <c r="J529" s="76"/>
    </row>
    <row r="530" spans="1:10" ht="15.75">
      <c r="A530" s="453">
        <v>28</v>
      </c>
      <c r="B530" s="773" t="s">
        <v>1046</v>
      </c>
      <c r="C530" s="453" t="s">
        <v>1047</v>
      </c>
      <c r="D530" s="69">
        <v>28000</v>
      </c>
      <c r="E530" s="452" t="s">
        <v>126</v>
      </c>
      <c r="F530" s="452"/>
      <c r="G530" s="76">
        <f>D530/4</f>
        <v>7000</v>
      </c>
      <c r="H530" s="76">
        <f>D530/4</f>
        <v>7000</v>
      </c>
      <c r="I530" s="76">
        <f>D530/4</f>
        <v>7000</v>
      </c>
      <c r="J530" s="76">
        <f>D530/4</f>
        <v>7000</v>
      </c>
    </row>
    <row r="531" spans="1:10" ht="15.75">
      <c r="A531" s="453">
        <v>29</v>
      </c>
      <c r="B531" s="773" t="s">
        <v>1048</v>
      </c>
      <c r="C531" s="453"/>
      <c r="D531" s="69">
        <v>42</v>
      </c>
      <c r="E531" s="750" t="s">
        <v>126</v>
      </c>
      <c r="F531" s="750"/>
      <c r="G531" s="76">
        <f>D531/4</f>
        <v>10.5</v>
      </c>
      <c r="H531" s="76">
        <f>D531/4</f>
        <v>10.5</v>
      </c>
      <c r="I531" s="76">
        <f>D531/4</f>
        <v>10.5</v>
      </c>
      <c r="J531" s="76">
        <f>D531/4</f>
        <v>10.5</v>
      </c>
    </row>
    <row r="532" spans="1:10" ht="15.75">
      <c r="A532" s="453">
        <v>30</v>
      </c>
      <c r="B532" s="773" t="s">
        <v>1049</v>
      </c>
      <c r="C532" s="453" t="s">
        <v>1050</v>
      </c>
      <c r="D532" s="69">
        <v>10</v>
      </c>
      <c r="E532" s="750" t="s">
        <v>27</v>
      </c>
      <c r="F532" s="750"/>
      <c r="G532" s="76">
        <f>D532/4</f>
        <v>2.5</v>
      </c>
      <c r="H532" s="76">
        <f>D532/4</f>
        <v>2.5</v>
      </c>
      <c r="I532" s="76">
        <f>D532/4</f>
        <v>2.5</v>
      </c>
      <c r="J532" s="76">
        <f>D532/4</f>
        <v>2.5</v>
      </c>
    </row>
    <row r="533" spans="1:10" ht="15.75">
      <c r="A533" s="453">
        <v>31</v>
      </c>
      <c r="B533" s="773" t="s">
        <v>1051</v>
      </c>
      <c r="C533" s="453"/>
      <c r="D533" s="69">
        <v>9</v>
      </c>
      <c r="E533" s="750" t="s">
        <v>1177</v>
      </c>
      <c r="F533" s="750"/>
      <c r="G533" s="76"/>
      <c r="H533" s="76">
        <v>9</v>
      </c>
      <c r="I533" s="76"/>
      <c r="J533" s="76"/>
    </row>
    <row r="534" spans="1:10" ht="15.75">
      <c r="A534" s="453">
        <v>32</v>
      </c>
      <c r="B534" s="774" t="s">
        <v>1052</v>
      </c>
      <c r="C534" s="125"/>
      <c r="D534" s="125">
        <v>40</v>
      </c>
      <c r="E534" s="125" t="s">
        <v>27</v>
      </c>
      <c r="F534" s="125"/>
      <c r="G534" s="76">
        <f t="shared" ref="G534:G557" si="7">D534/4</f>
        <v>10</v>
      </c>
      <c r="H534" s="76">
        <f t="shared" ref="H534:H557" si="8">D534/4</f>
        <v>10</v>
      </c>
      <c r="I534" s="76">
        <f t="shared" ref="I534:I557" si="9">D534/4</f>
        <v>10</v>
      </c>
      <c r="J534" s="76">
        <f t="shared" ref="J534:J557" si="10">D534/4</f>
        <v>10</v>
      </c>
    </row>
    <row r="535" spans="1:10" ht="15.75">
      <c r="A535" s="453">
        <v>33</v>
      </c>
      <c r="B535" s="773" t="s">
        <v>1053</v>
      </c>
      <c r="C535" s="453" t="s">
        <v>1054</v>
      </c>
      <c r="D535" s="750">
        <v>50</v>
      </c>
      <c r="E535" s="750" t="s">
        <v>27</v>
      </c>
      <c r="F535" s="750"/>
      <c r="G535" s="76">
        <f t="shared" si="7"/>
        <v>12.5</v>
      </c>
      <c r="H535" s="76">
        <f t="shared" si="8"/>
        <v>12.5</v>
      </c>
      <c r="I535" s="76">
        <f t="shared" si="9"/>
        <v>12.5</v>
      </c>
      <c r="J535" s="76">
        <f t="shared" si="10"/>
        <v>12.5</v>
      </c>
    </row>
    <row r="536" spans="1:10" ht="15.75">
      <c r="A536" s="453">
        <v>34</v>
      </c>
      <c r="B536" s="773" t="s">
        <v>1055</v>
      </c>
      <c r="C536" s="453" t="s">
        <v>1056</v>
      </c>
      <c r="D536" s="69">
        <v>11000</v>
      </c>
      <c r="E536" s="750" t="s">
        <v>27</v>
      </c>
      <c r="F536" s="750"/>
      <c r="G536" s="76">
        <f t="shared" si="7"/>
        <v>2750</v>
      </c>
      <c r="H536" s="76">
        <f t="shared" si="8"/>
        <v>2750</v>
      </c>
      <c r="I536" s="76">
        <f t="shared" si="9"/>
        <v>2750</v>
      </c>
      <c r="J536" s="76">
        <f t="shared" si="10"/>
        <v>2750</v>
      </c>
    </row>
    <row r="537" spans="1:10" ht="15.75">
      <c r="A537" s="453">
        <v>35</v>
      </c>
      <c r="B537" s="773" t="s">
        <v>1057</v>
      </c>
      <c r="C537" s="453" t="s">
        <v>1058</v>
      </c>
      <c r="D537" s="69">
        <v>5500</v>
      </c>
      <c r="E537" s="750" t="s">
        <v>27</v>
      </c>
      <c r="F537" s="750"/>
      <c r="G537" s="76">
        <f t="shared" si="7"/>
        <v>1375</v>
      </c>
      <c r="H537" s="76">
        <f t="shared" si="8"/>
        <v>1375</v>
      </c>
      <c r="I537" s="76">
        <f t="shared" si="9"/>
        <v>1375</v>
      </c>
      <c r="J537" s="76">
        <f t="shared" si="10"/>
        <v>1375</v>
      </c>
    </row>
    <row r="538" spans="1:10" ht="15.75">
      <c r="A538" s="453">
        <v>36</v>
      </c>
      <c r="B538" s="773" t="s">
        <v>1059</v>
      </c>
      <c r="C538" s="453" t="s">
        <v>1060</v>
      </c>
      <c r="D538" s="69">
        <v>4000</v>
      </c>
      <c r="E538" s="750" t="s">
        <v>27</v>
      </c>
      <c r="F538" s="750"/>
      <c r="G538" s="76">
        <f t="shared" si="7"/>
        <v>1000</v>
      </c>
      <c r="H538" s="76">
        <f t="shared" si="8"/>
        <v>1000</v>
      </c>
      <c r="I538" s="76">
        <f t="shared" si="9"/>
        <v>1000</v>
      </c>
      <c r="J538" s="76">
        <f t="shared" si="10"/>
        <v>1000</v>
      </c>
    </row>
    <row r="539" spans="1:10" ht="15.75">
      <c r="A539" s="453">
        <v>37</v>
      </c>
      <c r="B539" s="773" t="s">
        <v>1061</v>
      </c>
      <c r="C539" s="453" t="s">
        <v>1062</v>
      </c>
      <c r="D539" s="69">
        <v>900</v>
      </c>
      <c r="E539" s="750" t="s">
        <v>27</v>
      </c>
      <c r="F539" s="750"/>
      <c r="G539" s="76">
        <f t="shared" si="7"/>
        <v>225</v>
      </c>
      <c r="H539" s="76">
        <f t="shared" si="8"/>
        <v>225</v>
      </c>
      <c r="I539" s="76">
        <f t="shared" si="9"/>
        <v>225</v>
      </c>
      <c r="J539" s="76">
        <f t="shared" si="10"/>
        <v>225</v>
      </c>
    </row>
    <row r="540" spans="1:10" ht="15.75">
      <c r="A540" s="453">
        <v>38</v>
      </c>
      <c r="B540" s="773" t="s">
        <v>1063</v>
      </c>
      <c r="C540" s="453"/>
      <c r="D540" s="69">
        <v>160</v>
      </c>
      <c r="E540" s="750" t="s">
        <v>27</v>
      </c>
      <c r="F540" s="750"/>
      <c r="G540" s="76">
        <f t="shared" si="7"/>
        <v>40</v>
      </c>
      <c r="H540" s="76">
        <f t="shared" si="8"/>
        <v>40</v>
      </c>
      <c r="I540" s="76">
        <f t="shared" si="9"/>
        <v>40</v>
      </c>
      <c r="J540" s="76">
        <f t="shared" si="10"/>
        <v>40</v>
      </c>
    </row>
    <row r="541" spans="1:10" ht="15.75">
      <c r="A541" s="453">
        <v>39</v>
      </c>
      <c r="B541" s="773" t="s">
        <v>1064</v>
      </c>
      <c r="C541" s="453" t="s">
        <v>1065</v>
      </c>
      <c r="D541" s="69">
        <v>500</v>
      </c>
      <c r="E541" s="750" t="s">
        <v>27</v>
      </c>
      <c r="F541" s="750"/>
      <c r="G541" s="76">
        <f t="shared" si="7"/>
        <v>125</v>
      </c>
      <c r="H541" s="76">
        <f t="shared" si="8"/>
        <v>125</v>
      </c>
      <c r="I541" s="76">
        <f t="shared" si="9"/>
        <v>125</v>
      </c>
      <c r="J541" s="76">
        <f t="shared" si="10"/>
        <v>125</v>
      </c>
    </row>
    <row r="542" spans="1:10" ht="15.75">
      <c r="A542" s="453">
        <v>40</v>
      </c>
      <c r="B542" s="773" t="s">
        <v>1066</v>
      </c>
      <c r="C542" s="453" t="s">
        <v>1067</v>
      </c>
      <c r="D542" s="69">
        <v>200</v>
      </c>
      <c r="E542" s="750" t="s">
        <v>27</v>
      </c>
      <c r="F542" s="750"/>
      <c r="G542" s="76">
        <f t="shared" si="7"/>
        <v>50</v>
      </c>
      <c r="H542" s="76">
        <f t="shared" si="8"/>
        <v>50</v>
      </c>
      <c r="I542" s="76">
        <f t="shared" si="9"/>
        <v>50</v>
      </c>
      <c r="J542" s="76">
        <f t="shared" si="10"/>
        <v>50</v>
      </c>
    </row>
    <row r="543" spans="1:10" ht="15.75">
      <c r="A543" s="453">
        <v>41</v>
      </c>
      <c r="B543" s="775" t="s">
        <v>1068</v>
      </c>
      <c r="C543" s="125"/>
      <c r="D543" s="125">
        <v>20</v>
      </c>
      <c r="E543" s="125" t="s">
        <v>27</v>
      </c>
      <c r="F543" s="125"/>
      <c r="G543" s="76">
        <f t="shared" si="7"/>
        <v>5</v>
      </c>
      <c r="H543" s="76">
        <f t="shared" si="8"/>
        <v>5</v>
      </c>
      <c r="I543" s="76">
        <f t="shared" si="9"/>
        <v>5</v>
      </c>
      <c r="J543" s="76">
        <f t="shared" si="10"/>
        <v>5</v>
      </c>
    </row>
    <row r="544" spans="1:10" ht="15.75">
      <c r="A544" s="453">
        <v>42</v>
      </c>
      <c r="B544" s="773" t="s">
        <v>1069</v>
      </c>
      <c r="C544" s="453" t="s">
        <v>1070</v>
      </c>
      <c r="D544" s="750">
        <v>10</v>
      </c>
      <c r="E544" s="453" t="s">
        <v>27</v>
      </c>
      <c r="F544" s="453"/>
      <c r="G544" s="76">
        <f t="shared" si="7"/>
        <v>2.5</v>
      </c>
      <c r="H544" s="76">
        <f t="shared" si="8"/>
        <v>2.5</v>
      </c>
      <c r="I544" s="76">
        <f t="shared" si="9"/>
        <v>2.5</v>
      </c>
      <c r="J544" s="76">
        <f t="shared" si="10"/>
        <v>2.5</v>
      </c>
    </row>
    <row r="545" spans="1:10" ht="15.75">
      <c r="A545" s="453">
        <v>43</v>
      </c>
      <c r="B545" s="773" t="s">
        <v>1071</v>
      </c>
      <c r="C545" s="453" t="s">
        <v>1072</v>
      </c>
      <c r="D545" s="69">
        <v>400</v>
      </c>
      <c r="E545" s="750" t="s">
        <v>27</v>
      </c>
      <c r="F545" s="750"/>
      <c r="G545" s="76">
        <f t="shared" si="7"/>
        <v>100</v>
      </c>
      <c r="H545" s="76">
        <f t="shared" si="8"/>
        <v>100</v>
      </c>
      <c r="I545" s="76">
        <f t="shared" si="9"/>
        <v>100</v>
      </c>
      <c r="J545" s="76">
        <f t="shared" si="10"/>
        <v>100</v>
      </c>
    </row>
    <row r="546" spans="1:10" ht="15.75">
      <c r="A546" s="453">
        <v>44</v>
      </c>
      <c r="B546" s="776" t="s">
        <v>1073</v>
      </c>
      <c r="C546" s="127"/>
      <c r="D546" s="126">
        <v>14</v>
      </c>
      <c r="E546" s="125" t="s">
        <v>27</v>
      </c>
      <c r="F546" s="125"/>
      <c r="G546" s="76">
        <f t="shared" si="7"/>
        <v>3.5</v>
      </c>
      <c r="H546" s="76">
        <f t="shared" si="8"/>
        <v>3.5</v>
      </c>
      <c r="I546" s="76">
        <f t="shared" si="9"/>
        <v>3.5</v>
      </c>
      <c r="J546" s="76">
        <f t="shared" si="10"/>
        <v>3.5</v>
      </c>
    </row>
    <row r="547" spans="1:10" ht="15.75">
      <c r="A547" s="453">
        <v>45</v>
      </c>
      <c r="B547" s="773" t="s">
        <v>1074</v>
      </c>
      <c r="C547" s="453" t="s">
        <v>1075</v>
      </c>
      <c r="D547" s="69">
        <v>50</v>
      </c>
      <c r="E547" s="750" t="s">
        <v>1178</v>
      </c>
      <c r="F547" s="750"/>
      <c r="G547" s="76">
        <f t="shared" si="7"/>
        <v>12.5</v>
      </c>
      <c r="H547" s="76">
        <f t="shared" si="8"/>
        <v>12.5</v>
      </c>
      <c r="I547" s="76">
        <f t="shared" si="9"/>
        <v>12.5</v>
      </c>
      <c r="J547" s="76">
        <f t="shared" si="10"/>
        <v>12.5</v>
      </c>
    </row>
    <row r="548" spans="1:10" ht="15.75">
      <c r="A548" s="453">
        <v>46</v>
      </c>
      <c r="B548" s="775" t="s">
        <v>1076</v>
      </c>
      <c r="C548" s="125"/>
      <c r="D548" s="125">
        <v>200</v>
      </c>
      <c r="E548" s="125" t="s">
        <v>27</v>
      </c>
      <c r="F548" s="125"/>
      <c r="G548" s="76">
        <f t="shared" si="7"/>
        <v>50</v>
      </c>
      <c r="H548" s="76">
        <f t="shared" si="8"/>
        <v>50</v>
      </c>
      <c r="I548" s="76">
        <f t="shared" si="9"/>
        <v>50</v>
      </c>
      <c r="J548" s="76">
        <f t="shared" si="10"/>
        <v>50</v>
      </c>
    </row>
    <row r="549" spans="1:10" ht="15.75">
      <c r="A549" s="453">
        <v>47</v>
      </c>
      <c r="B549" s="777" t="s">
        <v>1077</v>
      </c>
      <c r="C549" s="128" t="s">
        <v>1078</v>
      </c>
      <c r="D549" s="125">
        <v>1.7</v>
      </c>
      <c r="E549" s="125" t="s">
        <v>27</v>
      </c>
      <c r="F549" s="125"/>
      <c r="G549" s="76">
        <f t="shared" si="7"/>
        <v>0.42499999999999999</v>
      </c>
      <c r="H549" s="76">
        <f t="shared" si="8"/>
        <v>0.42499999999999999</v>
      </c>
      <c r="I549" s="76">
        <f t="shared" si="9"/>
        <v>0.42499999999999999</v>
      </c>
      <c r="J549" s="76">
        <f t="shared" si="10"/>
        <v>0.42499999999999999</v>
      </c>
    </row>
    <row r="550" spans="1:10" ht="15.75">
      <c r="A550" s="453">
        <v>48</v>
      </c>
      <c r="B550" s="775" t="s">
        <v>1079</v>
      </c>
      <c r="C550" s="125" t="s">
        <v>1080</v>
      </c>
      <c r="D550" s="125">
        <v>90</v>
      </c>
      <c r="E550" s="125" t="s">
        <v>27</v>
      </c>
      <c r="F550" s="125"/>
      <c r="G550" s="76">
        <f t="shared" si="7"/>
        <v>22.5</v>
      </c>
      <c r="H550" s="76">
        <f t="shared" si="8"/>
        <v>22.5</v>
      </c>
      <c r="I550" s="76">
        <f t="shared" si="9"/>
        <v>22.5</v>
      </c>
      <c r="J550" s="76">
        <f t="shared" si="10"/>
        <v>22.5</v>
      </c>
    </row>
    <row r="551" spans="1:10" ht="15.75">
      <c r="A551" s="453">
        <v>49</v>
      </c>
      <c r="B551" s="775" t="s">
        <v>1081</v>
      </c>
      <c r="C551" s="125" t="s">
        <v>1082</v>
      </c>
      <c r="D551" s="125">
        <v>10</v>
      </c>
      <c r="E551" s="125" t="s">
        <v>27</v>
      </c>
      <c r="F551" s="125"/>
      <c r="G551" s="76">
        <f t="shared" si="7"/>
        <v>2.5</v>
      </c>
      <c r="H551" s="76">
        <f t="shared" si="8"/>
        <v>2.5</v>
      </c>
      <c r="I551" s="76">
        <f t="shared" si="9"/>
        <v>2.5</v>
      </c>
      <c r="J551" s="76">
        <f t="shared" si="10"/>
        <v>2.5</v>
      </c>
    </row>
    <row r="552" spans="1:10" ht="15.75">
      <c r="A552" s="453">
        <v>50</v>
      </c>
      <c r="B552" s="773" t="s">
        <v>1083</v>
      </c>
      <c r="C552" s="453" t="s">
        <v>1084</v>
      </c>
      <c r="D552" s="69">
        <v>140</v>
      </c>
      <c r="E552" s="750" t="s">
        <v>27</v>
      </c>
      <c r="F552" s="750"/>
      <c r="G552" s="76">
        <f t="shared" si="7"/>
        <v>35</v>
      </c>
      <c r="H552" s="76">
        <f t="shared" si="8"/>
        <v>35</v>
      </c>
      <c r="I552" s="76">
        <f t="shared" si="9"/>
        <v>35</v>
      </c>
      <c r="J552" s="76">
        <f t="shared" si="10"/>
        <v>35</v>
      </c>
    </row>
    <row r="553" spans="1:10" ht="15.75">
      <c r="A553" s="453">
        <v>51</v>
      </c>
      <c r="B553" s="773" t="s">
        <v>1085</v>
      </c>
      <c r="C553" s="453" t="s">
        <v>1086</v>
      </c>
      <c r="D553" s="69">
        <v>140</v>
      </c>
      <c r="E553" s="750" t="s">
        <v>27</v>
      </c>
      <c r="F553" s="750"/>
      <c r="G553" s="76">
        <f t="shared" si="7"/>
        <v>35</v>
      </c>
      <c r="H553" s="76">
        <f t="shared" si="8"/>
        <v>35</v>
      </c>
      <c r="I553" s="76">
        <f t="shared" si="9"/>
        <v>35</v>
      </c>
      <c r="J553" s="76">
        <f t="shared" si="10"/>
        <v>35</v>
      </c>
    </row>
    <row r="554" spans="1:10" ht="15.75">
      <c r="A554" s="453">
        <v>52</v>
      </c>
      <c r="B554" s="773" t="s">
        <v>1087</v>
      </c>
      <c r="C554" s="453" t="s">
        <v>1088</v>
      </c>
      <c r="D554" s="69">
        <v>200</v>
      </c>
      <c r="E554" s="750" t="s">
        <v>27</v>
      </c>
      <c r="F554" s="750"/>
      <c r="G554" s="76">
        <f t="shared" si="7"/>
        <v>50</v>
      </c>
      <c r="H554" s="76">
        <f t="shared" si="8"/>
        <v>50</v>
      </c>
      <c r="I554" s="76">
        <f t="shared" si="9"/>
        <v>50</v>
      </c>
      <c r="J554" s="76">
        <f t="shared" si="10"/>
        <v>50</v>
      </c>
    </row>
    <row r="555" spans="1:10" ht="15.75">
      <c r="A555" s="453">
        <v>53</v>
      </c>
      <c r="B555" s="773" t="s">
        <v>1089</v>
      </c>
      <c r="C555" s="453" t="s">
        <v>1090</v>
      </c>
      <c r="D555" s="69">
        <v>200</v>
      </c>
      <c r="E555" s="750" t="s">
        <v>126</v>
      </c>
      <c r="F555" s="750"/>
      <c r="G555" s="76">
        <f t="shared" si="7"/>
        <v>50</v>
      </c>
      <c r="H555" s="76">
        <f t="shared" si="8"/>
        <v>50</v>
      </c>
      <c r="I555" s="76">
        <f t="shared" si="9"/>
        <v>50</v>
      </c>
      <c r="J555" s="76">
        <f t="shared" si="10"/>
        <v>50</v>
      </c>
    </row>
    <row r="556" spans="1:10" ht="15.75">
      <c r="A556" s="453">
        <v>54</v>
      </c>
      <c r="B556" s="773" t="s">
        <v>1091</v>
      </c>
      <c r="C556" s="453" t="s">
        <v>1092</v>
      </c>
      <c r="D556" s="69">
        <v>400</v>
      </c>
      <c r="E556" s="750" t="s">
        <v>27</v>
      </c>
      <c r="F556" s="750"/>
      <c r="G556" s="76">
        <f t="shared" si="7"/>
        <v>100</v>
      </c>
      <c r="H556" s="76">
        <f t="shared" si="8"/>
        <v>100</v>
      </c>
      <c r="I556" s="76">
        <f t="shared" si="9"/>
        <v>100</v>
      </c>
      <c r="J556" s="76">
        <f t="shared" si="10"/>
        <v>100</v>
      </c>
    </row>
    <row r="557" spans="1:10" ht="15.75">
      <c r="A557" s="453">
        <v>55</v>
      </c>
      <c r="B557" s="773" t="s">
        <v>1093</v>
      </c>
      <c r="C557" s="453" t="s">
        <v>1092</v>
      </c>
      <c r="D557" s="69">
        <v>45</v>
      </c>
      <c r="E557" s="750" t="s">
        <v>1178</v>
      </c>
      <c r="F557" s="750"/>
      <c r="G557" s="76">
        <f t="shared" si="7"/>
        <v>11.25</v>
      </c>
      <c r="H557" s="76">
        <f t="shared" si="8"/>
        <v>11.25</v>
      </c>
      <c r="I557" s="76">
        <f t="shared" si="9"/>
        <v>11.25</v>
      </c>
      <c r="J557" s="76">
        <f t="shared" si="10"/>
        <v>11.25</v>
      </c>
    </row>
    <row r="558" spans="1:10" ht="15.75">
      <c r="A558" s="453">
        <v>56</v>
      </c>
      <c r="B558" s="775" t="s">
        <v>1094</v>
      </c>
      <c r="C558" s="129" t="s">
        <v>1095</v>
      </c>
      <c r="D558" s="125">
        <v>2</v>
      </c>
      <c r="E558" s="125" t="s">
        <v>27</v>
      </c>
      <c r="F558" s="125"/>
      <c r="G558" s="125">
        <v>2</v>
      </c>
      <c r="H558" s="125">
        <v>2</v>
      </c>
      <c r="I558" s="125">
        <v>2</v>
      </c>
      <c r="J558" s="125">
        <v>2</v>
      </c>
    </row>
    <row r="559" spans="1:10" ht="15.75">
      <c r="A559" s="453">
        <v>57</v>
      </c>
      <c r="B559" s="773" t="s">
        <v>1096</v>
      </c>
      <c r="C559" s="453" t="s">
        <v>1097</v>
      </c>
      <c r="D559" s="69">
        <v>100</v>
      </c>
      <c r="E559" s="750" t="s">
        <v>27</v>
      </c>
      <c r="F559" s="750"/>
      <c r="G559" s="76">
        <f t="shared" ref="G559:G593" si="11">D559/4</f>
        <v>25</v>
      </c>
      <c r="H559" s="76">
        <f t="shared" ref="H559:H590" si="12">D559/4</f>
        <v>25</v>
      </c>
      <c r="I559" s="76">
        <f t="shared" ref="I559:I590" si="13">D559/4</f>
        <v>25</v>
      </c>
      <c r="J559" s="76">
        <f t="shared" ref="J559:J593" si="14">D559/4</f>
        <v>25</v>
      </c>
    </row>
    <row r="560" spans="1:10" ht="15.75">
      <c r="A560" s="453">
        <v>58</v>
      </c>
      <c r="B560" s="773" t="s">
        <v>1098</v>
      </c>
      <c r="C560" s="453" t="s">
        <v>1099</v>
      </c>
      <c r="D560" s="69">
        <v>20</v>
      </c>
      <c r="E560" s="750" t="s">
        <v>27</v>
      </c>
      <c r="F560" s="750"/>
      <c r="G560" s="76">
        <f t="shared" si="11"/>
        <v>5</v>
      </c>
      <c r="H560" s="76">
        <f t="shared" si="12"/>
        <v>5</v>
      </c>
      <c r="I560" s="76">
        <f t="shared" si="13"/>
        <v>5</v>
      </c>
      <c r="J560" s="76">
        <f t="shared" si="14"/>
        <v>5</v>
      </c>
    </row>
    <row r="561" spans="1:10" ht="15.75">
      <c r="A561" s="453">
        <v>59</v>
      </c>
      <c r="B561" s="773" t="s">
        <v>1100</v>
      </c>
      <c r="C561" s="453" t="s">
        <v>1101</v>
      </c>
      <c r="D561" s="750">
        <v>130</v>
      </c>
      <c r="E561" s="453" t="s">
        <v>27</v>
      </c>
      <c r="F561" s="453"/>
      <c r="G561" s="76">
        <f t="shared" si="11"/>
        <v>32.5</v>
      </c>
      <c r="H561" s="76">
        <f t="shared" si="12"/>
        <v>32.5</v>
      </c>
      <c r="I561" s="76">
        <f t="shared" si="13"/>
        <v>32.5</v>
      </c>
      <c r="J561" s="76">
        <f t="shared" si="14"/>
        <v>32.5</v>
      </c>
    </row>
    <row r="562" spans="1:10" ht="15.75">
      <c r="A562" s="453">
        <v>60</v>
      </c>
      <c r="B562" s="773" t="s">
        <v>1102</v>
      </c>
      <c r="C562" s="453" t="s">
        <v>1103</v>
      </c>
      <c r="D562" s="69">
        <v>110</v>
      </c>
      <c r="E562" s="750" t="s">
        <v>27</v>
      </c>
      <c r="F562" s="750"/>
      <c r="G562" s="76">
        <f t="shared" si="11"/>
        <v>27.5</v>
      </c>
      <c r="H562" s="76">
        <f t="shared" si="12"/>
        <v>27.5</v>
      </c>
      <c r="I562" s="76">
        <f t="shared" si="13"/>
        <v>27.5</v>
      </c>
      <c r="J562" s="76">
        <f t="shared" si="14"/>
        <v>27.5</v>
      </c>
    </row>
    <row r="563" spans="1:10" ht="15.75">
      <c r="A563" s="453">
        <v>61</v>
      </c>
      <c r="B563" s="775" t="s">
        <v>1104</v>
      </c>
      <c r="C563" s="125" t="s">
        <v>1105</v>
      </c>
      <c r="D563" s="125">
        <v>5</v>
      </c>
      <c r="E563" s="125" t="s">
        <v>27</v>
      </c>
      <c r="F563" s="125"/>
      <c r="G563" s="76">
        <f t="shared" si="11"/>
        <v>1.25</v>
      </c>
      <c r="H563" s="76">
        <f t="shared" si="12"/>
        <v>1.25</v>
      </c>
      <c r="I563" s="76">
        <f t="shared" si="13"/>
        <v>1.25</v>
      </c>
      <c r="J563" s="76">
        <f t="shared" si="14"/>
        <v>1.25</v>
      </c>
    </row>
    <row r="564" spans="1:10" ht="15.75">
      <c r="A564" s="453">
        <v>62</v>
      </c>
      <c r="B564" s="775" t="s">
        <v>1106</v>
      </c>
      <c r="C564" s="125" t="s">
        <v>1107</v>
      </c>
      <c r="D564" s="125">
        <v>100</v>
      </c>
      <c r="E564" s="125" t="s">
        <v>27</v>
      </c>
      <c r="F564" s="125"/>
      <c r="G564" s="76">
        <f t="shared" si="11"/>
        <v>25</v>
      </c>
      <c r="H564" s="76">
        <f t="shared" si="12"/>
        <v>25</v>
      </c>
      <c r="I564" s="76">
        <f t="shared" si="13"/>
        <v>25</v>
      </c>
      <c r="J564" s="76">
        <f t="shared" si="14"/>
        <v>25</v>
      </c>
    </row>
    <row r="565" spans="1:10" ht="15.75">
      <c r="A565" s="453">
        <v>63</v>
      </c>
      <c r="B565" s="775" t="s">
        <v>1108</v>
      </c>
      <c r="C565" s="125" t="s">
        <v>1109</v>
      </c>
      <c r="D565" s="125">
        <v>1.7</v>
      </c>
      <c r="E565" s="125" t="s">
        <v>27</v>
      </c>
      <c r="F565" s="125"/>
      <c r="G565" s="76">
        <f t="shared" si="11"/>
        <v>0.42499999999999999</v>
      </c>
      <c r="H565" s="76">
        <f t="shared" si="12"/>
        <v>0.42499999999999999</v>
      </c>
      <c r="I565" s="76">
        <f t="shared" si="13"/>
        <v>0.42499999999999999</v>
      </c>
      <c r="J565" s="76">
        <f t="shared" si="14"/>
        <v>0.42499999999999999</v>
      </c>
    </row>
    <row r="566" spans="1:10" ht="15.75">
      <c r="A566" s="453">
        <v>64</v>
      </c>
      <c r="B566" s="774" t="s">
        <v>1110</v>
      </c>
      <c r="C566" s="125"/>
      <c r="D566" s="125">
        <v>0.2</v>
      </c>
      <c r="E566" s="125" t="s">
        <v>27</v>
      </c>
      <c r="F566" s="125"/>
      <c r="G566" s="76">
        <f t="shared" si="11"/>
        <v>0.05</v>
      </c>
      <c r="H566" s="76">
        <f t="shared" si="12"/>
        <v>0.05</v>
      </c>
      <c r="I566" s="76">
        <f t="shared" si="13"/>
        <v>0.05</v>
      </c>
      <c r="J566" s="76">
        <f t="shared" si="14"/>
        <v>0.05</v>
      </c>
    </row>
    <row r="567" spans="1:10" ht="15.75">
      <c r="A567" s="453">
        <v>65</v>
      </c>
      <c r="B567" s="775" t="s">
        <v>1111</v>
      </c>
      <c r="C567" s="125" t="s">
        <v>1112</v>
      </c>
      <c r="D567" s="125">
        <v>10</v>
      </c>
      <c r="E567" s="125" t="s">
        <v>27</v>
      </c>
      <c r="F567" s="125"/>
      <c r="G567" s="76">
        <f t="shared" si="11"/>
        <v>2.5</v>
      </c>
      <c r="H567" s="76">
        <f t="shared" si="12"/>
        <v>2.5</v>
      </c>
      <c r="I567" s="76">
        <f t="shared" si="13"/>
        <v>2.5</v>
      </c>
      <c r="J567" s="76">
        <f t="shared" si="14"/>
        <v>2.5</v>
      </c>
    </row>
    <row r="568" spans="1:10" ht="15.75">
      <c r="A568" s="453">
        <v>66</v>
      </c>
      <c r="B568" s="775" t="s">
        <v>1113</v>
      </c>
      <c r="C568" s="125" t="s">
        <v>1114</v>
      </c>
      <c r="D568" s="125">
        <v>1.35</v>
      </c>
      <c r="E568" s="125" t="s">
        <v>27</v>
      </c>
      <c r="F568" s="125"/>
      <c r="G568" s="76">
        <f t="shared" si="11"/>
        <v>0.33750000000000002</v>
      </c>
      <c r="H568" s="76">
        <f t="shared" si="12"/>
        <v>0.33750000000000002</v>
      </c>
      <c r="I568" s="76">
        <f t="shared" si="13"/>
        <v>0.33750000000000002</v>
      </c>
      <c r="J568" s="76">
        <f t="shared" si="14"/>
        <v>0.33750000000000002</v>
      </c>
    </row>
    <row r="569" spans="1:10" ht="15.75">
      <c r="A569" s="453">
        <v>67</v>
      </c>
      <c r="B569" s="775" t="s">
        <v>1115</v>
      </c>
      <c r="C569" s="125" t="s">
        <v>1116</v>
      </c>
      <c r="D569" s="125">
        <v>1.1399999999999999</v>
      </c>
      <c r="E569" s="125" t="s">
        <v>27</v>
      </c>
      <c r="F569" s="125"/>
      <c r="G569" s="76">
        <f t="shared" si="11"/>
        <v>0.28499999999999998</v>
      </c>
      <c r="H569" s="76">
        <f t="shared" si="12"/>
        <v>0.28499999999999998</v>
      </c>
      <c r="I569" s="76">
        <f t="shared" si="13"/>
        <v>0.28499999999999998</v>
      </c>
      <c r="J569" s="76">
        <f t="shared" si="14"/>
        <v>0.28499999999999998</v>
      </c>
    </row>
    <row r="570" spans="1:10" ht="15.75">
      <c r="A570" s="453">
        <v>68</v>
      </c>
      <c r="B570" s="775" t="s">
        <v>1117</v>
      </c>
      <c r="C570" s="125" t="s">
        <v>1118</v>
      </c>
      <c r="D570" s="125">
        <v>1.1399999999999999</v>
      </c>
      <c r="E570" s="125" t="s">
        <v>27</v>
      </c>
      <c r="F570" s="125"/>
      <c r="G570" s="76">
        <f t="shared" si="11"/>
        <v>0.28499999999999998</v>
      </c>
      <c r="H570" s="76">
        <f t="shared" si="12"/>
        <v>0.28499999999999998</v>
      </c>
      <c r="I570" s="76">
        <f t="shared" si="13"/>
        <v>0.28499999999999998</v>
      </c>
      <c r="J570" s="76">
        <f t="shared" si="14"/>
        <v>0.28499999999999998</v>
      </c>
    </row>
    <row r="571" spans="1:10" ht="15.75">
      <c r="A571" s="453">
        <v>69</v>
      </c>
      <c r="B571" s="775" t="s">
        <v>1119</v>
      </c>
      <c r="C571" s="125" t="s">
        <v>1120</v>
      </c>
      <c r="D571" s="125">
        <v>1.1399999999999999</v>
      </c>
      <c r="E571" s="125" t="s">
        <v>27</v>
      </c>
      <c r="F571" s="125"/>
      <c r="G571" s="76">
        <f t="shared" si="11"/>
        <v>0.28499999999999998</v>
      </c>
      <c r="H571" s="76">
        <f t="shared" si="12"/>
        <v>0.28499999999999998</v>
      </c>
      <c r="I571" s="76">
        <f t="shared" si="13"/>
        <v>0.28499999999999998</v>
      </c>
      <c r="J571" s="76">
        <f t="shared" si="14"/>
        <v>0.28499999999999998</v>
      </c>
    </row>
    <row r="572" spans="1:10" ht="15.75">
      <c r="A572" s="453">
        <v>70</v>
      </c>
      <c r="B572" s="773" t="s">
        <v>1121</v>
      </c>
      <c r="C572" s="453" t="s">
        <v>1122</v>
      </c>
      <c r="D572" s="69">
        <v>24</v>
      </c>
      <c r="E572" s="750" t="s">
        <v>27</v>
      </c>
      <c r="F572" s="750"/>
      <c r="G572" s="76">
        <f t="shared" si="11"/>
        <v>6</v>
      </c>
      <c r="H572" s="76">
        <f t="shared" si="12"/>
        <v>6</v>
      </c>
      <c r="I572" s="76">
        <f t="shared" si="13"/>
        <v>6</v>
      </c>
      <c r="J572" s="76">
        <f t="shared" si="14"/>
        <v>6</v>
      </c>
    </row>
    <row r="573" spans="1:10" ht="15.75">
      <c r="A573" s="453">
        <v>71</v>
      </c>
      <c r="B573" s="773" t="s">
        <v>1123</v>
      </c>
      <c r="C573" s="453" t="s">
        <v>1124</v>
      </c>
      <c r="D573" s="69">
        <v>160</v>
      </c>
      <c r="E573" s="750" t="s">
        <v>1178</v>
      </c>
      <c r="F573" s="750"/>
      <c r="G573" s="76">
        <f t="shared" si="11"/>
        <v>40</v>
      </c>
      <c r="H573" s="76">
        <f t="shared" si="12"/>
        <v>40</v>
      </c>
      <c r="I573" s="76">
        <f t="shared" si="13"/>
        <v>40</v>
      </c>
      <c r="J573" s="76">
        <f t="shared" si="14"/>
        <v>40</v>
      </c>
    </row>
    <row r="574" spans="1:10" ht="15.75">
      <c r="A574" s="453">
        <v>72</v>
      </c>
      <c r="B574" s="773" t="s">
        <v>1125</v>
      </c>
      <c r="C574" s="750"/>
      <c r="D574" s="69">
        <v>60</v>
      </c>
      <c r="E574" s="452" t="s">
        <v>126</v>
      </c>
      <c r="F574" s="452"/>
      <c r="G574" s="76">
        <f t="shared" si="11"/>
        <v>15</v>
      </c>
      <c r="H574" s="76">
        <f t="shared" si="12"/>
        <v>15</v>
      </c>
      <c r="I574" s="76">
        <f t="shared" si="13"/>
        <v>15</v>
      </c>
      <c r="J574" s="76">
        <f t="shared" si="14"/>
        <v>15</v>
      </c>
    </row>
    <row r="575" spans="1:10" ht="15.75">
      <c r="A575" s="453">
        <v>73</v>
      </c>
      <c r="B575" s="773" t="s">
        <v>1126</v>
      </c>
      <c r="C575" s="750"/>
      <c r="D575" s="69">
        <v>250</v>
      </c>
      <c r="E575" s="750" t="s">
        <v>27</v>
      </c>
      <c r="F575" s="750"/>
      <c r="G575" s="76">
        <f t="shared" si="11"/>
        <v>62.5</v>
      </c>
      <c r="H575" s="76">
        <f t="shared" si="12"/>
        <v>62.5</v>
      </c>
      <c r="I575" s="76">
        <f t="shared" si="13"/>
        <v>62.5</v>
      </c>
      <c r="J575" s="76">
        <f t="shared" si="14"/>
        <v>62.5</v>
      </c>
    </row>
    <row r="576" spans="1:10" ht="15.75">
      <c r="A576" s="453">
        <v>74</v>
      </c>
      <c r="B576" s="775" t="s">
        <v>1127</v>
      </c>
      <c r="C576" s="125"/>
      <c r="D576" s="125">
        <v>30</v>
      </c>
      <c r="E576" s="125" t="s">
        <v>286</v>
      </c>
      <c r="F576" s="125"/>
      <c r="G576" s="76">
        <f t="shared" si="11"/>
        <v>7.5</v>
      </c>
      <c r="H576" s="76">
        <f t="shared" si="12"/>
        <v>7.5</v>
      </c>
      <c r="I576" s="76">
        <f t="shared" si="13"/>
        <v>7.5</v>
      </c>
      <c r="J576" s="76">
        <f t="shared" si="14"/>
        <v>7.5</v>
      </c>
    </row>
    <row r="577" spans="1:10" ht="15.75">
      <c r="A577" s="453">
        <v>75</v>
      </c>
      <c r="B577" s="775" t="s">
        <v>1128</v>
      </c>
      <c r="C577" s="125"/>
      <c r="D577" s="125">
        <v>20</v>
      </c>
      <c r="E577" s="125" t="s">
        <v>1179</v>
      </c>
      <c r="F577" s="125"/>
      <c r="G577" s="76">
        <f t="shared" si="11"/>
        <v>5</v>
      </c>
      <c r="H577" s="76">
        <f t="shared" si="12"/>
        <v>5</v>
      </c>
      <c r="I577" s="76">
        <f t="shared" si="13"/>
        <v>5</v>
      </c>
      <c r="J577" s="76">
        <f t="shared" si="14"/>
        <v>5</v>
      </c>
    </row>
    <row r="578" spans="1:10" ht="15.75">
      <c r="A578" s="453">
        <v>76</v>
      </c>
      <c r="B578" s="775" t="s">
        <v>1129</v>
      </c>
      <c r="C578" s="125"/>
      <c r="D578" s="125">
        <v>300</v>
      </c>
      <c r="E578" s="125" t="s">
        <v>518</v>
      </c>
      <c r="F578" s="125"/>
      <c r="G578" s="76">
        <f t="shared" si="11"/>
        <v>75</v>
      </c>
      <c r="H578" s="76">
        <f t="shared" si="12"/>
        <v>75</v>
      </c>
      <c r="I578" s="76">
        <f t="shared" si="13"/>
        <v>75</v>
      </c>
      <c r="J578" s="76">
        <f t="shared" si="14"/>
        <v>75</v>
      </c>
    </row>
    <row r="579" spans="1:10" ht="15.75">
      <c r="A579" s="453">
        <v>77</v>
      </c>
      <c r="B579" s="773" t="s">
        <v>1130</v>
      </c>
      <c r="C579" s="750"/>
      <c r="D579" s="69">
        <v>250</v>
      </c>
      <c r="E579" s="750" t="s">
        <v>1180</v>
      </c>
      <c r="F579" s="750"/>
      <c r="G579" s="76">
        <f t="shared" si="11"/>
        <v>62.5</v>
      </c>
      <c r="H579" s="76">
        <f t="shared" si="12"/>
        <v>62.5</v>
      </c>
      <c r="I579" s="76">
        <f t="shared" si="13"/>
        <v>62.5</v>
      </c>
      <c r="J579" s="76">
        <f t="shared" si="14"/>
        <v>62.5</v>
      </c>
    </row>
    <row r="580" spans="1:10" ht="15.75">
      <c r="A580" s="453">
        <v>78</v>
      </c>
      <c r="B580" s="773" t="s">
        <v>1131</v>
      </c>
      <c r="C580" s="750"/>
      <c r="D580" s="69">
        <v>8</v>
      </c>
      <c r="E580" s="750" t="s">
        <v>89</v>
      </c>
      <c r="F580" s="750"/>
      <c r="G580" s="76">
        <f t="shared" si="11"/>
        <v>2</v>
      </c>
      <c r="H580" s="76">
        <f t="shared" si="12"/>
        <v>2</v>
      </c>
      <c r="I580" s="76">
        <f t="shared" si="13"/>
        <v>2</v>
      </c>
      <c r="J580" s="76">
        <f t="shared" si="14"/>
        <v>2</v>
      </c>
    </row>
    <row r="581" spans="1:10" ht="15.75">
      <c r="A581" s="453">
        <v>79</v>
      </c>
      <c r="B581" s="773" t="s">
        <v>1132</v>
      </c>
      <c r="C581" s="750"/>
      <c r="D581" s="69">
        <v>300</v>
      </c>
      <c r="E581" s="750" t="s">
        <v>518</v>
      </c>
      <c r="F581" s="750"/>
      <c r="G581" s="76">
        <f t="shared" si="11"/>
        <v>75</v>
      </c>
      <c r="H581" s="76">
        <f t="shared" si="12"/>
        <v>75</v>
      </c>
      <c r="I581" s="76">
        <f t="shared" si="13"/>
        <v>75</v>
      </c>
      <c r="J581" s="76">
        <f t="shared" si="14"/>
        <v>75</v>
      </c>
    </row>
    <row r="582" spans="1:10" ht="15.75">
      <c r="A582" s="453">
        <v>80</v>
      </c>
      <c r="B582" s="773" t="s">
        <v>1133</v>
      </c>
      <c r="C582" s="750"/>
      <c r="D582" s="69">
        <v>300</v>
      </c>
      <c r="E582" s="750" t="s">
        <v>27</v>
      </c>
      <c r="F582" s="750"/>
      <c r="G582" s="76">
        <f t="shared" si="11"/>
        <v>75</v>
      </c>
      <c r="H582" s="76">
        <f t="shared" si="12"/>
        <v>75</v>
      </c>
      <c r="I582" s="76">
        <f t="shared" si="13"/>
        <v>75</v>
      </c>
      <c r="J582" s="76">
        <f t="shared" si="14"/>
        <v>75</v>
      </c>
    </row>
    <row r="583" spans="1:10" ht="15.75">
      <c r="A583" s="453">
        <v>81</v>
      </c>
      <c r="B583" s="773" t="s">
        <v>1134</v>
      </c>
      <c r="C583" s="750" t="s">
        <v>1135</v>
      </c>
      <c r="D583" s="69">
        <v>260</v>
      </c>
      <c r="E583" s="750" t="s">
        <v>518</v>
      </c>
      <c r="F583" s="750"/>
      <c r="G583" s="76">
        <f t="shared" si="11"/>
        <v>65</v>
      </c>
      <c r="H583" s="76">
        <f t="shared" si="12"/>
        <v>65</v>
      </c>
      <c r="I583" s="76">
        <f t="shared" si="13"/>
        <v>65</v>
      </c>
      <c r="J583" s="76">
        <f t="shared" si="14"/>
        <v>65</v>
      </c>
    </row>
    <row r="584" spans="1:10" ht="31.5">
      <c r="A584" s="453">
        <v>82</v>
      </c>
      <c r="B584" s="773" t="s">
        <v>1136</v>
      </c>
      <c r="C584" s="750" t="s">
        <v>1137</v>
      </c>
      <c r="D584" s="69">
        <v>200</v>
      </c>
      <c r="E584" s="750" t="s">
        <v>27</v>
      </c>
      <c r="F584" s="750"/>
      <c r="G584" s="76">
        <f t="shared" si="11"/>
        <v>50</v>
      </c>
      <c r="H584" s="76">
        <f t="shared" si="12"/>
        <v>50</v>
      </c>
      <c r="I584" s="76">
        <f t="shared" si="13"/>
        <v>50</v>
      </c>
      <c r="J584" s="76">
        <f t="shared" si="14"/>
        <v>50</v>
      </c>
    </row>
    <row r="585" spans="1:10" ht="15.75">
      <c r="A585" s="453">
        <v>83</v>
      </c>
      <c r="B585" s="775" t="s">
        <v>1138</v>
      </c>
      <c r="C585" s="125" t="s">
        <v>1139</v>
      </c>
      <c r="D585" s="125">
        <v>1.7</v>
      </c>
      <c r="E585" s="125" t="s">
        <v>27</v>
      </c>
      <c r="F585" s="125"/>
      <c r="G585" s="76">
        <f t="shared" si="11"/>
        <v>0.42499999999999999</v>
      </c>
      <c r="H585" s="76">
        <f t="shared" si="12"/>
        <v>0.42499999999999999</v>
      </c>
      <c r="I585" s="76">
        <f t="shared" si="13"/>
        <v>0.42499999999999999</v>
      </c>
      <c r="J585" s="76">
        <f t="shared" si="14"/>
        <v>0.42499999999999999</v>
      </c>
    </row>
    <row r="586" spans="1:10" ht="15.75">
      <c r="A586" s="453">
        <v>84</v>
      </c>
      <c r="B586" s="775" t="s">
        <v>1140</v>
      </c>
      <c r="C586" s="125"/>
      <c r="D586" s="125">
        <v>40</v>
      </c>
      <c r="E586" s="125" t="s">
        <v>286</v>
      </c>
      <c r="F586" s="125"/>
      <c r="G586" s="76">
        <f t="shared" si="11"/>
        <v>10</v>
      </c>
      <c r="H586" s="76">
        <f t="shared" si="12"/>
        <v>10</v>
      </c>
      <c r="I586" s="76">
        <f t="shared" si="13"/>
        <v>10</v>
      </c>
      <c r="J586" s="76">
        <f t="shared" si="14"/>
        <v>10</v>
      </c>
    </row>
    <row r="587" spans="1:10" ht="15.75">
      <c r="A587" s="453">
        <v>85</v>
      </c>
      <c r="B587" s="775" t="s">
        <v>1141</v>
      </c>
      <c r="C587" s="125" t="s">
        <v>1142</v>
      </c>
      <c r="D587" s="125">
        <v>10</v>
      </c>
      <c r="E587" s="125" t="s">
        <v>286</v>
      </c>
      <c r="F587" s="125"/>
      <c r="G587" s="76">
        <f t="shared" si="11"/>
        <v>2.5</v>
      </c>
      <c r="H587" s="76">
        <f t="shared" si="12"/>
        <v>2.5</v>
      </c>
      <c r="I587" s="76">
        <f t="shared" si="13"/>
        <v>2.5</v>
      </c>
      <c r="J587" s="76">
        <f t="shared" si="14"/>
        <v>2.5</v>
      </c>
    </row>
    <row r="588" spans="1:10" ht="15.75">
      <c r="A588" s="453">
        <v>86</v>
      </c>
      <c r="B588" s="777" t="s">
        <v>1143</v>
      </c>
      <c r="C588" s="128" t="s">
        <v>1144</v>
      </c>
      <c r="D588" s="126">
        <v>10</v>
      </c>
      <c r="E588" s="125" t="s">
        <v>286</v>
      </c>
      <c r="F588" s="125"/>
      <c r="G588" s="76"/>
      <c r="H588" s="76">
        <v>5</v>
      </c>
      <c r="I588" s="76"/>
      <c r="J588" s="76">
        <v>5</v>
      </c>
    </row>
    <row r="589" spans="1:10" ht="15.75">
      <c r="A589" s="453">
        <v>87</v>
      </c>
      <c r="B589" s="777" t="s">
        <v>1145</v>
      </c>
      <c r="C589" s="128" t="s">
        <v>1146</v>
      </c>
      <c r="D589" s="126">
        <v>6</v>
      </c>
      <c r="E589" s="125" t="s">
        <v>286</v>
      </c>
      <c r="F589" s="125"/>
      <c r="G589" s="76"/>
      <c r="H589" s="76">
        <v>3</v>
      </c>
      <c r="I589" s="76"/>
      <c r="J589" s="76">
        <v>3</v>
      </c>
    </row>
    <row r="590" spans="1:10" ht="15.75">
      <c r="A590" s="453">
        <v>88</v>
      </c>
      <c r="B590" s="775" t="s">
        <v>1147</v>
      </c>
      <c r="C590" s="125" t="s">
        <v>1090</v>
      </c>
      <c r="D590" s="125">
        <v>200</v>
      </c>
      <c r="E590" s="125" t="s">
        <v>286</v>
      </c>
      <c r="F590" s="125"/>
      <c r="G590" s="76">
        <f t="shared" si="11"/>
        <v>50</v>
      </c>
      <c r="H590" s="76">
        <f t="shared" si="12"/>
        <v>50</v>
      </c>
      <c r="I590" s="76">
        <f t="shared" si="13"/>
        <v>50</v>
      </c>
      <c r="J590" s="76">
        <f t="shared" si="14"/>
        <v>50</v>
      </c>
    </row>
    <row r="591" spans="1:10" ht="15.75">
      <c r="A591" s="453">
        <v>89</v>
      </c>
      <c r="B591" s="777" t="s">
        <v>1148</v>
      </c>
      <c r="C591" s="128" t="s">
        <v>1149</v>
      </c>
      <c r="D591" s="126">
        <v>10</v>
      </c>
      <c r="E591" s="125" t="s">
        <v>518</v>
      </c>
      <c r="F591" s="125"/>
      <c r="G591" s="76"/>
      <c r="H591" s="76">
        <v>5</v>
      </c>
      <c r="I591" s="76"/>
      <c r="J591" s="76">
        <v>5</v>
      </c>
    </row>
    <row r="592" spans="1:10" ht="34.5">
      <c r="A592" s="453">
        <v>90</v>
      </c>
      <c r="B592" s="773" t="s">
        <v>2718</v>
      </c>
      <c r="C592" s="453">
        <v>102</v>
      </c>
      <c r="D592" s="69">
        <v>4</v>
      </c>
      <c r="E592" s="452" t="s">
        <v>126</v>
      </c>
      <c r="F592" s="452"/>
      <c r="G592" s="76"/>
      <c r="H592" s="76">
        <v>1</v>
      </c>
      <c r="I592" s="76">
        <v>2</v>
      </c>
      <c r="J592" s="76">
        <f t="shared" si="14"/>
        <v>1</v>
      </c>
    </row>
    <row r="593" spans="1:10" ht="15.75">
      <c r="A593" s="453">
        <v>91</v>
      </c>
      <c r="B593" s="773" t="s">
        <v>1150</v>
      </c>
      <c r="C593" s="750" t="s">
        <v>1151</v>
      </c>
      <c r="D593" s="69">
        <v>60</v>
      </c>
      <c r="E593" s="452" t="s">
        <v>126</v>
      </c>
      <c r="F593" s="452"/>
      <c r="G593" s="76">
        <f t="shared" si="11"/>
        <v>15</v>
      </c>
      <c r="H593" s="76">
        <f>D593/4</f>
        <v>15</v>
      </c>
      <c r="I593" s="76">
        <f>D593/4</f>
        <v>15</v>
      </c>
      <c r="J593" s="76">
        <f t="shared" si="14"/>
        <v>15</v>
      </c>
    </row>
    <row r="594" spans="1:10" ht="15.75">
      <c r="A594" s="453">
        <v>92</v>
      </c>
      <c r="B594" s="773" t="s">
        <v>1152</v>
      </c>
      <c r="C594" s="750" t="s">
        <v>1151</v>
      </c>
      <c r="D594" s="69">
        <v>100</v>
      </c>
      <c r="E594" s="452" t="s">
        <v>126</v>
      </c>
      <c r="F594" s="452"/>
      <c r="G594" s="452"/>
      <c r="H594" s="76">
        <v>50</v>
      </c>
      <c r="I594" s="76">
        <v>50</v>
      </c>
      <c r="J594" s="76"/>
    </row>
    <row r="595" spans="1:10" ht="15.75">
      <c r="A595" s="453">
        <v>93</v>
      </c>
      <c r="B595" s="773" t="s">
        <v>1153</v>
      </c>
      <c r="C595" s="453"/>
      <c r="D595" s="69">
        <v>20</v>
      </c>
      <c r="E595" s="750" t="s">
        <v>126</v>
      </c>
      <c r="F595" s="750"/>
      <c r="G595" s="76">
        <f>D595/4</f>
        <v>5</v>
      </c>
      <c r="H595" s="76">
        <f>D595/4</f>
        <v>5</v>
      </c>
      <c r="I595" s="76">
        <f>D595/4</f>
        <v>5</v>
      </c>
      <c r="J595" s="76">
        <f>D595/4</f>
        <v>5</v>
      </c>
    </row>
    <row r="596" spans="1:10" ht="15.75">
      <c r="A596" s="453">
        <v>94</v>
      </c>
      <c r="B596" s="773" t="s">
        <v>1154</v>
      </c>
      <c r="C596" s="453"/>
      <c r="D596" s="69">
        <v>10</v>
      </c>
      <c r="E596" s="750" t="s">
        <v>464</v>
      </c>
      <c r="F596" s="750"/>
      <c r="G596" s="76"/>
      <c r="H596" s="76">
        <v>5</v>
      </c>
      <c r="I596" s="76"/>
      <c r="J596" s="76">
        <v>5</v>
      </c>
    </row>
    <row r="597" spans="1:10" ht="15.75">
      <c r="A597" s="453">
        <v>95</v>
      </c>
      <c r="B597" s="773" t="s">
        <v>1155</v>
      </c>
      <c r="C597" s="453"/>
      <c r="D597" s="69">
        <v>5</v>
      </c>
      <c r="E597" s="750" t="s">
        <v>286</v>
      </c>
      <c r="F597" s="750"/>
      <c r="G597" s="76"/>
      <c r="H597" s="76"/>
      <c r="I597" s="76"/>
      <c r="J597" s="76">
        <v>5</v>
      </c>
    </row>
    <row r="598" spans="1:10" ht="15.75">
      <c r="A598" s="453">
        <v>96</v>
      </c>
      <c r="B598" s="773" t="s">
        <v>1952</v>
      </c>
      <c r="C598" s="453"/>
      <c r="D598" s="69">
        <v>5</v>
      </c>
      <c r="E598" s="750" t="s">
        <v>126</v>
      </c>
      <c r="F598" s="750"/>
      <c r="G598" s="76"/>
      <c r="H598" s="76"/>
      <c r="I598" s="76">
        <v>5</v>
      </c>
      <c r="J598" s="76"/>
    </row>
    <row r="599" spans="1:10" ht="15.75">
      <c r="A599" s="453">
        <v>97</v>
      </c>
      <c r="B599" s="773" t="s">
        <v>1156</v>
      </c>
      <c r="C599" s="453"/>
      <c r="D599" s="69">
        <v>5</v>
      </c>
      <c r="E599" s="750" t="s">
        <v>126</v>
      </c>
      <c r="F599" s="750"/>
      <c r="G599" s="76"/>
      <c r="H599" s="76"/>
      <c r="I599" s="76">
        <v>5</v>
      </c>
      <c r="J599" s="76"/>
    </row>
    <row r="600" spans="1:10" ht="15.75">
      <c r="A600" s="453">
        <v>98</v>
      </c>
      <c r="B600" s="773" t="s">
        <v>1157</v>
      </c>
      <c r="C600" s="453" t="s">
        <v>1158</v>
      </c>
      <c r="D600" s="69">
        <v>20</v>
      </c>
      <c r="E600" s="750" t="s">
        <v>286</v>
      </c>
      <c r="F600" s="750"/>
      <c r="G600" s="76">
        <f t="shared" ref="G600:G617" si="15">D600/4</f>
        <v>5</v>
      </c>
      <c r="H600" s="76">
        <f t="shared" ref="H600:H617" si="16">D600/4</f>
        <v>5</v>
      </c>
      <c r="I600" s="76">
        <f t="shared" ref="I600:I617" si="17">D600/4</f>
        <v>5</v>
      </c>
      <c r="J600" s="76">
        <f t="shared" ref="J600:J617" si="18">D600/4</f>
        <v>5</v>
      </c>
    </row>
    <row r="601" spans="1:10" ht="15.75">
      <c r="A601" s="453">
        <v>99</v>
      </c>
      <c r="B601" s="775" t="s">
        <v>1159</v>
      </c>
      <c r="C601" s="125" t="s">
        <v>1090</v>
      </c>
      <c r="D601" s="125">
        <v>50</v>
      </c>
      <c r="E601" s="125" t="s">
        <v>286</v>
      </c>
      <c r="F601" s="125"/>
      <c r="G601" s="76"/>
      <c r="H601" s="76">
        <v>25</v>
      </c>
      <c r="I601" s="76"/>
      <c r="J601" s="76">
        <v>25</v>
      </c>
    </row>
    <row r="602" spans="1:10" ht="15.75">
      <c r="A602" s="453">
        <v>100</v>
      </c>
      <c r="B602" s="775" t="s">
        <v>1160</v>
      </c>
      <c r="C602" s="125" t="s">
        <v>1090</v>
      </c>
      <c r="D602" s="125">
        <v>60</v>
      </c>
      <c r="E602" s="750" t="s">
        <v>286</v>
      </c>
      <c r="F602" s="750"/>
      <c r="G602" s="76">
        <f t="shared" si="15"/>
        <v>15</v>
      </c>
      <c r="H602" s="76">
        <f t="shared" si="16"/>
        <v>15</v>
      </c>
      <c r="I602" s="76">
        <f t="shared" si="17"/>
        <v>15</v>
      </c>
      <c r="J602" s="76">
        <f t="shared" si="18"/>
        <v>15</v>
      </c>
    </row>
    <row r="603" spans="1:10" ht="15.75">
      <c r="A603" s="453">
        <v>101</v>
      </c>
      <c r="B603" s="775" t="s">
        <v>1161</v>
      </c>
      <c r="C603" s="125" t="s">
        <v>1162</v>
      </c>
      <c r="D603" s="125">
        <v>100</v>
      </c>
      <c r="E603" s="750" t="s">
        <v>286</v>
      </c>
      <c r="F603" s="750"/>
      <c r="G603" s="76">
        <f t="shared" si="15"/>
        <v>25</v>
      </c>
      <c r="H603" s="76">
        <f t="shared" si="16"/>
        <v>25</v>
      </c>
      <c r="I603" s="76">
        <f t="shared" si="17"/>
        <v>25</v>
      </c>
      <c r="J603" s="76">
        <f t="shared" si="18"/>
        <v>25</v>
      </c>
    </row>
    <row r="604" spans="1:10" ht="15.75">
      <c r="A604" s="453">
        <v>102</v>
      </c>
      <c r="B604" s="776" t="s">
        <v>1163</v>
      </c>
      <c r="C604" s="126"/>
      <c r="D604" s="126">
        <v>4</v>
      </c>
      <c r="E604" s="750" t="s">
        <v>286</v>
      </c>
      <c r="F604" s="750"/>
      <c r="G604" s="76">
        <f t="shared" si="15"/>
        <v>1</v>
      </c>
      <c r="H604" s="76">
        <f t="shared" si="16"/>
        <v>1</v>
      </c>
      <c r="I604" s="76">
        <f t="shared" si="17"/>
        <v>1</v>
      </c>
      <c r="J604" s="76">
        <f t="shared" si="18"/>
        <v>1</v>
      </c>
    </row>
    <row r="605" spans="1:10" ht="15.75">
      <c r="A605" s="453">
        <v>103</v>
      </c>
      <c r="B605" s="775" t="s">
        <v>1164</v>
      </c>
      <c r="C605" s="125"/>
      <c r="D605" s="125">
        <v>30</v>
      </c>
      <c r="E605" s="125" t="s">
        <v>286</v>
      </c>
      <c r="F605" s="125"/>
      <c r="G605" s="76">
        <f t="shared" si="15"/>
        <v>7.5</v>
      </c>
      <c r="H605" s="76">
        <f t="shared" si="16"/>
        <v>7.5</v>
      </c>
      <c r="I605" s="76">
        <f t="shared" si="17"/>
        <v>7.5</v>
      </c>
      <c r="J605" s="76">
        <f t="shared" si="18"/>
        <v>7.5</v>
      </c>
    </row>
    <row r="606" spans="1:10" ht="15.75">
      <c r="A606" s="453">
        <v>104</v>
      </c>
      <c r="B606" s="775" t="s">
        <v>1165</v>
      </c>
      <c r="C606" s="125" t="s">
        <v>1090</v>
      </c>
      <c r="D606" s="125">
        <v>100</v>
      </c>
      <c r="E606" s="125" t="s">
        <v>286</v>
      </c>
      <c r="F606" s="125"/>
      <c r="G606" s="76">
        <f t="shared" si="15"/>
        <v>25</v>
      </c>
      <c r="H606" s="76">
        <f t="shared" si="16"/>
        <v>25</v>
      </c>
      <c r="I606" s="76">
        <f t="shared" si="17"/>
        <v>25</v>
      </c>
      <c r="J606" s="76">
        <f t="shared" si="18"/>
        <v>25</v>
      </c>
    </row>
    <row r="607" spans="1:10" ht="15.75">
      <c r="A607" s="453">
        <v>105</v>
      </c>
      <c r="B607" s="775" t="s">
        <v>1166</v>
      </c>
      <c r="C607" s="125" t="s">
        <v>1090</v>
      </c>
      <c r="D607" s="125">
        <v>400</v>
      </c>
      <c r="E607" s="125" t="s">
        <v>286</v>
      </c>
      <c r="F607" s="125"/>
      <c r="G607" s="76">
        <f t="shared" si="15"/>
        <v>100</v>
      </c>
      <c r="H607" s="76">
        <f t="shared" si="16"/>
        <v>100</v>
      </c>
      <c r="I607" s="76">
        <f t="shared" si="17"/>
        <v>100</v>
      </c>
      <c r="J607" s="76">
        <f t="shared" si="18"/>
        <v>100</v>
      </c>
    </row>
    <row r="608" spans="1:10" ht="15.75">
      <c r="A608" s="453">
        <v>106</v>
      </c>
      <c r="B608" s="775" t="s">
        <v>1167</v>
      </c>
      <c r="C608" s="125" t="s">
        <v>1072</v>
      </c>
      <c r="D608" s="125">
        <v>400</v>
      </c>
      <c r="E608" s="125" t="s">
        <v>27</v>
      </c>
      <c r="F608" s="125"/>
      <c r="G608" s="76">
        <f t="shared" si="15"/>
        <v>100</v>
      </c>
      <c r="H608" s="76">
        <f t="shared" si="16"/>
        <v>100</v>
      </c>
      <c r="I608" s="76">
        <f t="shared" si="17"/>
        <v>100</v>
      </c>
      <c r="J608" s="76">
        <f t="shared" si="18"/>
        <v>100</v>
      </c>
    </row>
    <row r="609" spans="1:10" ht="15.75">
      <c r="A609" s="453">
        <v>107</v>
      </c>
      <c r="B609" s="775" t="s">
        <v>1168</v>
      </c>
      <c r="C609" s="125" t="s">
        <v>1090</v>
      </c>
      <c r="D609" s="125">
        <v>400</v>
      </c>
      <c r="E609" s="125" t="s">
        <v>286</v>
      </c>
      <c r="F609" s="125"/>
      <c r="G609" s="76">
        <f t="shared" si="15"/>
        <v>100</v>
      </c>
      <c r="H609" s="76">
        <f t="shared" si="16"/>
        <v>100</v>
      </c>
      <c r="I609" s="76">
        <f t="shared" si="17"/>
        <v>100</v>
      </c>
      <c r="J609" s="76">
        <f t="shared" si="18"/>
        <v>100</v>
      </c>
    </row>
    <row r="610" spans="1:10" ht="15.75">
      <c r="A610" s="453">
        <v>108</v>
      </c>
      <c r="B610" s="775" t="s">
        <v>1169</v>
      </c>
      <c r="C610" s="125" t="s">
        <v>1090</v>
      </c>
      <c r="D610" s="125">
        <v>60</v>
      </c>
      <c r="E610" s="125" t="s">
        <v>286</v>
      </c>
      <c r="F610" s="125"/>
      <c r="G610" s="76">
        <f t="shared" si="15"/>
        <v>15</v>
      </c>
      <c r="H610" s="76">
        <f t="shared" si="16"/>
        <v>15</v>
      </c>
      <c r="I610" s="76">
        <f t="shared" si="17"/>
        <v>15</v>
      </c>
      <c r="J610" s="76">
        <f t="shared" si="18"/>
        <v>15</v>
      </c>
    </row>
    <row r="611" spans="1:10" ht="15.75">
      <c r="A611" s="453">
        <v>109</v>
      </c>
      <c r="B611" s="775" t="s">
        <v>1170</v>
      </c>
      <c r="C611" s="125"/>
      <c r="D611" s="125">
        <v>200</v>
      </c>
      <c r="E611" s="125" t="s">
        <v>286</v>
      </c>
      <c r="F611" s="125"/>
      <c r="G611" s="76">
        <f t="shared" si="15"/>
        <v>50</v>
      </c>
      <c r="H611" s="76">
        <f t="shared" si="16"/>
        <v>50</v>
      </c>
      <c r="I611" s="76">
        <f t="shared" si="17"/>
        <v>50</v>
      </c>
      <c r="J611" s="76">
        <f t="shared" si="18"/>
        <v>50</v>
      </c>
    </row>
    <row r="612" spans="1:10" ht="31.5">
      <c r="A612" s="453">
        <v>110</v>
      </c>
      <c r="B612" s="775" t="s">
        <v>1171</v>
      </c>
      <c r="C612" s="125"/>
      <c r="D612" s="125">
        <v>60</v>
      </c>
      <c r="E612" s="125" t="s">
        <v>286</v>
      </c>
      <c r="F612" s="125"/>
      <c r="G612" s="76">
        <f t="shared" si="15"/>
        <v>15</v>
      </c>
      <c r="H612" s="76">
        <f t="shared" si="16"/>
        <v>15</v>
      </c>
      <c r="I612" s="76">
        <f t="shared" si="17"/>
        <v>15</v>
      </c>
      <c r="J612" s="76">
        <f t="shared" si="18"/>
        <v>15</v>
      </c>
    </row>
    <row r="613" spans="1:10" ht="15.75">
      <c r="A613" s="453">
        <v>111</v>
      </c>
      <c r="B613" s="775" t="s">
        <v>1172</v>
      </c>
      <c r="C613" s="125"/>
      <c r="D613" s="125">
        <v>4000</v>
      </c>
      <c r="E613" s="125" t="s">
        <v>286</v>
      </c>
      <c r="F613" s="125"/>
      <c r="G613" s="76">
        <f t="shared" si="15"/>
        <v>1000</v>
      </c>
      <c r="H613" s="76">
        <f t="shared" si="16"/>
        <v>1000</v>
      </c>
      <c r="I613" s="76">
        <f t="shared" si="17"/>
        <v>1000</v>
      </c>
      <c r="J613" s="76">
        <f t="shared" si="18"/>
        <v>1000</v>
      </c>
    </row>
    <row r="614" spans="1:10" ht="15.75">
      <c r="A614" s="453">
        <v>112</v>
      </c>
      <c r="B614" s="776" t="s">
        <v>1173</v>
      </c>
      <c r="C614" s="126"/>
      <c r="D614" s="126">
        <v>12</v>
      </c>
      <c r="E614" s="126" t="s">
        <v>27</v>
      </c>
      <c r="F614" s="126"/>
      <c r="G614" s="76">
        <f t="shared" si="15"/>
        <v>3</v>
      </c>
      <c r="H614" s="76">
        <f t="shared" si="16"/>
        <v>3</v>
      </c>
      <c r="I614" s="76">
        <f t="shared" si="17"/>
        <v>3</v>
      </c>
      <c r="J614" s="76">
        <f t="shared" si="18"/>
        <v>3</v>
      </c>
    </row>
    <row r="615" spans="1:10" ht="31.5">
      <c r="A615" s="453">
        <v>113</v>
      </c>
      <c r="B615" s="775" t="s">
        <v>1174</v>
      </c>
      <c r="C615" s="125"/>
      <c r="D615" s="125">
        <v>200</v>
      </c>
      <c r="E615" s="125" t="s">
        <v>286</v>
      </c>
      <c r="F615" s="125"/>
      <c r="G615" s="76">
        <f t="shared" si="15"/>
        <v>50</v>
      </c>
      <c r="H615" s="76">
        <f t="shared" si="16"/>
        <v>50</v>
      </c>
      <c r="I615" s="76">
        <f t="shared" si="17"/>
        <v>50</v>
      </c>
      <c r="J615" s="76">
        <f t="shared" si="18"/>
        <v>50</v>
      </c>
    </row>
    <row r="616" spans="1:10" ht="15.75">
      <c r="A616" s="453">
        <v>114</v>
      </c>
      <c r="B616" s="777" t="s">
        <v>1148</v>
      </c>
      <c r="C616" s="128" t="s">
        <v>1149</v>
      </c>
      <c r="D616" s="126">
        <v>15</v>
      </c>
      <c r="E616" s="126" t="s">
        <v>518</v>
      </c>
      <c r="F616" s="126"/>
      <c r="G616" s="76">
        <f t="shared" si="15"/>
        <v>3.75</v>
      </c>
      <c r="H616" s="76">
        <f t="shared" si="16"/>
        <v>3.75</v>
      </c>
      <c r="I616" s="76">
        <f t="shared" si="17"/>
        <v>3.75</v>
      </c>
      <c r="J616" s="76">
        <f t="shared" si="18"/>
        <v>3.75</v>
      </c>
    </row>
    <row r="617" spans="1:10" ht="15.75">
      <c r="A617" s="453">
        <v>115</v>
      </c>
      <c r="B617" s="775" t="s">
        <v>1175</v>
      </c>
      <c r="C617" s="125" t="s">
        <v>1090</v>
      </c>
      <c r="D617" s="125">
        <v>200</v>
      </c>
      <c r="E617" s="125" t="s">
        <v>286</v>
      </c>
      <c r="F617" s="125"/>
      <c r="G617" s="76">
        <f t="shared" si="15"/>
        <v>50</v>
      </c>
      <c r="H617" s="76">
        <f t="shared" si="16"/>
        <v>50</v>
      </c>
      <c r="I617" s="76">
        <f t="shared" si="17"/>
        <v>50</v>
      </c>
      <c r="J617" s="76">
        <f t="shared" si="18"/>
        <v>50</v>
      </c>
    </row>
    <row r="618" spans="1:10" ht="15.75">
      <c r="A618" s="453">
        <v>116</v>
      </c>
      <c r="B618" s="778" t="s">
        <v>1219</v>
      </c>
      <c r="C618" s="452" t="s">
        <v>1220</v>
      </c>
      <c r="D618" s="452">
        <v>6</v>
      </c>
      <c r="E618" s="452"/>
      <c r="F618" s="452"/>
      <c r="G618" s="452">
        <v>3</v>
      </c>
      <c r="H618" s="452"/>
      <c r="I618" s="452">
        <v>3</v>
      </c>
      <c r="J618" s="452"/>
    </row>
    <row r="619" spans="1:10" ht="15.75">
      <c r="A619" s="453">
        <v>117</v>
      </c>
      <c r="B619" s="778" t="s">
        <v>1221</v>
      </c>
      <c r="C619" s="452"/>
      <c r="D619" s="452">
        <v>2</v>
      </c>
      <c r="E619" s="452"/>
      <c r="F619" s="452"/>
      <c r="G619" s="452">
        <v>2</v>
      </c>
      <c r="H619" s="452"/>
      <c r="I619" s="452"/>
      <c r="J619" s="452"/>
    </row>
    <row r="620" spans="1:10" ht="15.75">
      <c r="A620" s="453">
        <v>118</v>
      </c>
      <c r="B620" s="779" t="s">
        <v>1222</v>
      </c>
      <c r="C620" s="452" t="s">
        <v>1223</v>
      </c>
      <c r="D620" s="452">
        <v>12</v>
      </c>
      <c r="E620" s="452">
        <v>0</v>
      </c>
      <c r="F620" s="452"/>
      <c r="G620" s="452">
        <v>4</v>
      </c>
      <c r="H620" s="452">
        <v>4</v>
      </c>
      <c r="I620" s="452">
        <v>4</v>
      </c>
      <c r="J620" s="452">
        <v>4</v>
      </c>
    </row>
    <row r="621" spans="1:10" ht="15.75">
      <c r="A621" s="453">
        <v>119</v>
      </c>
      <c r="B621" s="765" t="s">
        <v>1224</v>
      </c>
      <c r="C621" s="452" t="s">
        <v>1225</v>
      </c>
      <c r="D621" s="452">
        <v>12</v>
      </c>
      <c r="E621" s="452">
        <v>0</v>
      </c>
      <c r="F621" s="452"/>
      <c r="G621" s="452">
        <v>4</v>
      </c>
      <c r="H621" s="452">
        <v>4</v>
      </c>
      <c r="I621" s="452">
        <v>4</v>
      </c>
      <c r="J621" s="452">
        <v>4</v>
      </c>
    </row>
    <row r="622" spans="1:10" ht="15.75">
      <c r="A622" s="453">
        <v>120</v>
      </c>
      <c r="B622" s="779" t="s">
        <v>1226</v>
      </c>
      <c r="C622" s="452" t="s">
        <v>1227</v>
      </c>
      <c r="D622" s="452">
        <v>12</v>
      </c>
      <c r="E622" s="452">
        <v>0</v>
      </c>
      <c r="F622" s="452"/>
      <c r="G622" s="452">
        <v>4</v>
      </c>
      <c r="H622" s="452">
        <v>4</v>
      </c>
      <c r="I622" s="452">
        <v>4</v>
      </c>
      <c r="J622" s="452">
        <v>4</v>
      </c>
    </row>
    <row r="623" spans="1:10" ht="15.75">
      <c r="A623" s="453">
        <v>121</v>
      </c>
      <c r="B623" s="765" t="s">
        <v>1228</v>
      </c>
      <c r="C623" s="452" t="s">
        <v>1229</v>
      </c>
      <c r="D623" s="452">
        <v>1</v>
      </c>
      <c r="E623" s="452">
        <v>0</v>
      </c>
      <c r="F623" s="452"/>
      <c r="G623" s="452"/>
      <c r="H623" s="452">
        <v>1</v>
      </c>
      <c r="I623" s="452"/>
      <c r="J623" s="452"/>
    </row>
    <row r="624" spans="1:10" ht="15.75">
      <c r="A624" s="453">
        <v>122</v>
      </c>
      <c r="B624" s="765" t="s">
        <v>1230</v>
      </c>
      <c r="C624" s="452" t="s">
        <v>1231</v>
      </c>
      <c r="D624" s="452">
        <v>20</v>
      </c>
      <c r="E624" s="452">
        <v>0</v>
      </c>
      <c r="F624" s="452"/>
      <c r="G624" s="452">
        <v>5</v>
      </c>
      <c r="H624" s="452">
        <v>5</v>
      </c>
      <c r="I624" s="452">
        <v>5</v>
      </c>
      <c r="J624" s="452">
        <v>5</v>
      </c>
    </row>
    <row r="625" spans="1:10" ht="15.75">
      <c r="A625" s="453">
        <v>123</v>
      </c>
      <c r="B625" s="765" t="s">
        <v>1232</v>
      </c>
      <c r="C625" s="452" t="s">
        <v>1233</v>
      </c>
      <c r="D625" s="452">
        <v>20</v>
      </c>
      <c r="E625" s="452">
        <v>0</v>
      </c>
      <c r="F625" s="452"/>
      <c r="G625" s="452">
        <v>5</v>
      </c>
      <c r="H625" s="452">
        <v>5</v>
      </c>
      <c r="I625" s="452">
        <v>5</v>
      </c>
      <c r="J625" s="452">
        <v>5</v>
      </c>
    </row>
    <row r="626" spans="1:10" ht="15.75">
      <c r="A626" s="453">
        <v>124</v>
      </c>
      <c r="B626" s="765" t="s">
        <v>1234</v>
      </c>
      <c r="C626" s="452" t="s">
        <v>1235</v>
      </c>
      <c r="D626" s="452">
        <v>20</v>
      </c>
      <c r="E626" s="452">
        <v>0</v>
      </c>
      <c r="F626" s="452"/>
      <c r="G626" s="452">
        <v>5</v>
      </c>
      <c r="H626" s="452">
        <v>5</v>
      </c>
      <c r="I626" s="452">
        <v>5</v>
      </c>
      <c r="J626" s="452">
        <v>5</v>
      </c>
    </row>
    <row r="627" spans="1:10" ht="15.75">
      <c r="A627" s="453">
        <v>125</v>
      </c>
      <c r="B627" s="769" t="s">
        <v>1236</v>
      </c>
      <c r="C627" s="59" t="s">
        <v>1237</v>
      </c>
      <c r="D627" s="59">
        <v>1</v>
      </c>
      <c r="E627" s="59"/>
      <c r="F627" s="59"/>
      <c r="G627" s="59">
        <v>1</v>
      </c>
      <c r="H627" s="59"/>
      <c r="I627" s="59"/>
      <c r="J627" s="59"/>
    </row>
    <row r="628" spans="1:10" ht="15.75">
      <c r="A628" s="453">
        <v>126</v>
      </c>
      <c r="B628" s="780" t="s">
        <v>1238</v>
      </c>
      <c r="C628" s="64" t="s">
        <v>1239</v>
      </c>
      <c r="D628" s="452">
        <v>5</v>
      </c>
      <c r="E628" s="452"/>
      <c r="F628" s="452"/>
      <c r="G628" s="452">
        <v>0</v>
      </c>
      <c r="H628" s="452">
        <v>0</v>
      </c>
      <c r="I628" s="452">
        <v>5</v>
      </c>
      <c r="J628" s="452">
        <v>0</v>
      </c>
    </row>
    <row r="629" spans="1:10" ht="15.75">
      <c r="A629" s="453">
        <v>127</v>
      </c>
      <c r="B629" s="781" t="s">
        <v>1240</v>
      </c>
      <c r="C629" s="59" t="s">
        <v>1241</v>
      </c>
      <c r="D629" s="59">
        <v>6</v>
      </c>
      <c r="E629" s="59"/>
      <c r="F629" s="59"/>
      <c r="G629" s="59"/>
      <c r="H629" s="59">
        <v>2</v>
      </c>
      <c r="I629" s="59">
        <v>2</v>
      </c>
      <c r="J629" s="59">
        <v>2</v>
      </c>
    </row>
    <row r="630" spans="1:10" ht="15.75">
      <c r="A630" s="453">
        <v>128</v>
      </c>
      <c r="B630" s="769" t="s">
        <v>4455</v>
      </c>
      <c r="C630" s="59"/>
      <c r="D630" s="59">
        <v>10</v>
      </c>
      <c r="E630" s="59"/>
      <c r="F630" s="59"/>
      <c r="G630" s="59">
        <v>0</v>
      </c>
      <c r="H630" s="59">
        <v>5</v>
      </c>
      <c r="I630" s="59">
        <v>5</v>
      </c>
      <c r="J630" s="59">
        <v>0</v>
      </c>
    </row>
    <row r="631" spans="1:10" ht="15.75">
      <c r="A631" s="1053" t="s">
        <v>1242</v>
      </c>
      <c r="B631" s="1053"/>
      <c r="C631" s="1053"/>
      <c r="D631" s="1053"/>
      <c r="E631" s="1053"/>
      <c r="F631" s="1053"/>
      <c r="G631" s="1053"/>
      <c r="H631" s="1053"/>
      <c r="I631" s="1053"/>
      <c r="J631" s="1053"/>
    </row>
    <row r="632" spans="1:10" ht="15.75">
      <c r="A632" s="67">
        <v>129</v>
      </c>
      <c r="B632" s="773" t="s">
        <v>1181</v>
      </c>
      <c r="C632" s="105" t="s">
        <v>1182</v>
      </c>
      <c r="D632" s="69">
        <v>500</v>
      </c>
      <c r="E632" s="452" t="s">
        <v>126</v>
      </c>
      <c r="F632" s="452"/>
      <c r="G632" s="76"/>
      <c r="H632" s="76">
        <v>500</v>
      </c>
      <c r="I632" s="76"/>
      <c r="J632" s="76"/>
    </row>
    <row r="633" spans="1:10" ht="15.75">
      <c r="A633" s="67">
        <v>130</v>
      </c>
      <c r="B633" s="773" t="s">
        <v>1181</v>
      </c>
      <c r="C633" s="105" t="s">
        <v>1183</v>
      </c>
      <c r="D633" s="69">
        <v>1000</v>
      </c>
      <c r="E633" s="452" t="s">
        <v>126</v>
      </c>
      <c r="F633" s="452"/>
      <c r="G633" s="76"/>
      <c r="H633" s="76">
        <v>1000</v>
      </c>
      <c r="I633" s="76"/>
      <c r="J633" s="76"/>
    </row>
    <row r="634" spans="1:10" ht="15.75">
      <c r="A634" s="453">
        <v>131</v>
      </c>
      <c r="B634" s="773" t="s">
        <v>1184</v>
      </c>
      <c r="C634" s="105"/>
      <c r="D634" s="69">
        <v>100</v>
      </c>
      <c r="E634" s="452" t="s">
        <v>286</v>
      </c>
      <c r="F634" s="452"/>
      <c r="G634" s="76">
        <f t="shared" ref="G634:G656" si="19">D634/4</f>
        <v>25</v>
      </c>
      <c r="H634" s="76">
        <f t="shared" ref="H634:H656" si="20">D634/4</f>
        <v>25</v>
      </c>
      <c r="I634" s="76">
        <f t="shared" ref="I634:I656" si="21">D634/4</f>
        <v>25</v>
      </c>
      <c r="J634" s="76">
        <f t="shared" ref="J634:J656" si="22">D634/4</f>
        <v>25</v>
      </c>
    </row>
    <row r="635" spans="1:10" ht="15.75">
      <c r="A635" s="453">
        <v>132</v>
      </c>
      <c r="B635" s="773" t="s">
        <v>1185</v>
      </c>
      <c r="C635" s="453"/>
      <c r="D635" s="69">
        <v>100</v>
      </c>
      <c r="E635" s="750" t="s">
        <v>126</v>
      </c>
      <c r="F635" s="750"/>
      <c r="G635" s="76">
        <f t="shared" si="19"/>
        <v>25</v>
      </c>
      <c r="H635" s="76">
        <f t="shared" si="20"/>
        <v>25</v>
      </c>
      <c r="I635" s="76">
        <f t="shared" si="21"/>
        <v>25</v>
      </c>
      <c r="J635" s="76">
        <f t="shared" si="22"/>
        <v>25</v>
      </c>
    </row>
    <row r="636" spans="1:10" ht="15.75">
      <c r="A636" s="453">
        <v>133</v>
      </c>
      <c r="B636" s="773" t="s">
        <v>1186</v>
      </c>
      <c r="C636" s="453"/>
      <c r="D636" s="69">
        <v>24</v>
      </c>
      <c r="E636" s="750" t="s">
        <v>126</v>
      </c>
      <c r="F636" s="750"/>
      <c r="G636" s="76">
        <f t="shared" si="19"/>
        <v>6</v>
      </c>
      <c r="H636" s="76">
        <f t="shared" si="20"/>
        <v>6</v>
      </c>
      <c r="I636" s="76">
        <f t="shared" si="21"/>
        <v>6</v>
      </c>
      <c r="J636" s="76">
        <f t="shared" si="22"/>
        <v>6</v>
      </c>
    </row>
    <row r="637" spans="1:10" ht="15.75">
      <c r="A637" s="453">
        <v>134</v>
      </c>
      <c r="B637" s="773" t="s">
        <v>1187</v>
      </c>
      <c r="C637" s="453"/>
      <c r="D637" s="69">
        <v>50</v>
      </c>
      <c r="E637" s="750" t="s">
        <v>126</v>
      </c>
      <c r="F637" s="750"/>
      <c r="G637" s="76">
        <f t="shared" si="19"/>
        <v>12.5</v>
      </c>
      <c r="H637" s="76">
        <f t="shared" si="20"/>
        <v>12.5</v>
      </c>
      <c r="I637" s="76">
        <f t="shared" si="21"/>
        <v>12.5</v>
      </c>
      <c r="J637" s="76">
        <f t="shared" si="22"/>
        <v>12.5</v>
      </c>
    </row>
    <row r="638" spans="1:10" ht="15.75">
      <c r="A638" s="453">
        <v>135</v>
      </c>
      <c r="B638" s="773" t="s">
        <v>1188</v>
      </c>
      <c r="C638" s="453"/>
      <c r="D638" s="69">
        <v>100</v>
      </c>
      <c r="E638" s="750" t="s">
        <v>126</v>
      </c>
      <c r="F638" s="750"/>
      <c r="G638" s="76">
        <f t="shared" si="19"/>
        <v>25</v>
      </c>
      <c r="H638" s="76">
        <f t="shared" si="20"/>
        <v>25</v>
      </c>
      <c r="I638" s="76">
        <f t="shared" si="21"/>
        <v>25</v>
      </c>
      <c r="J638" s="76">
        <f t="shared" si="22"/>
        <v>25</v>
      </c>
    </row>
    <row r="639" spans="1:10" ht="15.75">
      <c r="A639" s="453">
        <v>136</v>
      </c>
      <c r="B639" s="773" t="s">
        <v>1189</v>
      </c>
      <c r="C639" s="453"/>
      <c r="D639" s="69">
        <v>40</v>
      </c>
      <c r="E639" s="750" t="s">
        <v>1215</v>
      </c>
      <c r="F639" s="750"/>
      <c r="G639" s="76">
        <f t="shared" si="19"/>
        <v>10</v>
      </c>
      <c r="H639" s="76">
        <f t="shared" si="20"/>
        <v>10</v>
      </c>
      <c r="I639" s="76">
        <f t="shared" si="21"/>
        <v>10</v>
      </c>
      <c r="J639" s="76">
        <f t="shared" si="22"/>
        <v>10</v>
      </c>
    </row>
    <row r="640" spans="1:10" ht="15.75">
      <c r="A640" s="453">
        <v>137</v>
      </c>
      <c r="B640" s="773" t="s">
        <v>1190</v>
      </c>
      <c r="C640" s="453"/>
      <c r="D640" s="69">
        <v>40</v>
      </c>
      <c r="E640" s="750" t="s">
        <v>1215</v>
      </c>
      <c r="F640" s="750"/>
      <c r="G640" s="76">
        <f t="shared" si="19"/>
        <v>10</v>
      </c>
      <c r="H640" s="76">
        <f t="shared" si="20"/>
        <v>10</v>
      </c>
      <c r="I640" s="76">
        <f t="shared" si="21"/>
        <v>10</v>
      </c>
      <c r="J640" s="76">
        <f t="shared" si="22"/>
        <v>10</v>
      </c>
    </row>
    <row r="641" spans="1:10" ht="15.75">
      <c r="A641" s="453">
        <v>138</v>
      </c>
      <c r="B641" s="773" t="s">
        <v>1191</v>
      </c>
      <c r="C641" s="453"/>
      <c r="D641" s="69">
        <v>40</v>
      </c>
      <c r="E641" s="750" t="s">
        <v>1215</v>
      </c>
      <c r="F641" s="750"/>
      <c r="G641" s="76">
        <f t="shared" si="19"/>
        <v>10</v>
      </c>
      <c r="H641" s="76">
        <f t="shared" si="20"/>
        <v>10</v>
      </c>
      <c r="I641" s="76">
        <f t="shared" si="21"/>
        <v>10</v>
      </c>
      <c r="J641" s="76">
        <f t="shared" si="22"/>
        <v>10</v>
      </c>
    </row>
    <row r="642" spans="1:10" ht="15.75">
      <c r="A642" s="453">
        <v>139</v>
      </c>
      <c r="B642" s="773" t="s">
        <v>1192</v>
      </c>
      <c r="C642" s="453"/>
      <c r="D642" s="69">
        <v>40</v>
      </c>
      <c r="E642" s="750" t="s">
        <v>1215</v>
      </c>
      <c r="F642" s="750"/>
      <c r="G642" s="76">
        <f t="shared" si="19"/>
        <v>10</v>
      </c>
      <c r="H642" s="76">
        <f t="shared" si="20"/>
        <v>10</v>
      </c>
      <c r="I642" s="76">
        <f t="shared" si="21"/>
        <v>10</v>
      </c>
      <c r="J642" s="76">
        <f t="shared" si="22"/>
        <v>10</v>
      </c>
    </row>
    <row r="643" spans="1:10" ht="15.75">
      <c r="A643" s="453">
        <v>140</v>
      </c>
      <c r="B643" s="773" t="s">
        <v>1193</v>
      </c>
      <c r="C643" s="453" t="s">
        <v>1194</v>
      </c>
      <c r="D643" s="69">
        <v>60</v>
      </c>
      <c r="E643" s="750" t="s">
        <v>1215</v>
      </c>
      <c r="F643" s="750"/>
      <c r="G643" s="76">
        <f t="shared" si="19"/>
        <v>15</v>
      </c>
      <c r="H643" s="76">
        <f t="shared" si="20"/>
        <v>15</v>
      </c>
      <c r="I643" s="76">
        <f t="shared" si="21"/>
        <v>15</v>
      </c>
      <c r="J643" s="76">
        <f t="shared" si="22"/>
        <v>15</v>
      </c>
    </row>
    <row r="644" spans="1:10" ht="15.75">
      <c r="A644" s="453">
        <v>141</v>
      </c>
      <c r="B644" s="773" t="s">
        <v>1195</v>
      </c>
      <c r="C644" s="453" t="s">
        <v>1196</v>
      </c>
      <c r="D644" s="69">
        <v>50</v>
      </c>
      <c r="E644" s="750" t="s">
        <v>1215</v>
      </c>
      <c r="F644" s="750"/>
      <c r="G644" s="76">
        <f t="shared" si="19"/>
        <v>12.5</v>
      </c>
      <c r="H644" s="76">
        <f t="shared" si="20"/>
        <v>12.5</v>
      </c>
      <c r="I644" s="76">
        <f t="shared" si="21"/>
        <v>12.5</v>
      </c>
      <c r="J644" s="76">
        <f t="shared" si="22"/>
        <v>12.5</v>
      </c>
    </row>
    <row r="645" spans="1:10" ht="15.75">
      <c r="A645" s="453">
        <v>142</v>
      </c>
      <c r="B645" s="773" t="s">
        <v>1197</v>
      </c>
      <c r="C645" s="453" t="s">
        <v>1198</v>
      </c>
      <c r="D645" s="69">
        <v>40</v>
      </c>
      <c r="E645" s="750" t="s">
        <v>314</v>
      </c>
      <c r="F645" s="750"/>
      <c r="G645" s="76">
        <f t="shared" si="19"/>
        <v>10</v>
      </c>
      <c r="H645" s="76">
        <f t="shared" si="20"/>
        <v>10</v>
      </c>
      <c r="I645" s="76">
        <f t="shared" si="21"/>
        <v>10</v>
      </c>
      <c r="J645" s="76">
        <f t="shared" si="22"/>
        <v>10</v>
      </c>
    </row>
    <row r="646" spans="1:10" ht="15.75">
      <c r="A646" s="453">
        <v>143</v>
      </c>
      <c r="B646" s="773" t="s">
        <v>1199</v>
      </c>
      <c r="C646" s="453" t="s">
        <v>1198</v>
      </c>
      <c r="D646" s="69">
        <v>40</v>
      </c>
      <c r="E646" s="750" t="s">
        <v>314</v>
      </c>
      <c r="F646" s="750"/>
      <c r="G646" s="76">
        <f t="shared" si="19"/>
        <v>10</v>
      </c>
      <c r="H646" s="76">
        <f t="shared" si="20"/>
        <v>10</v>
      </c>
      <c r="I646" s="76">
        <f t="shared" si="21"/>
        <v>10</v>
      </c>
      <c r="J646" s="76">
        <f t="shared" si="22"/>
        <v>10</v>
      </c>
    </row>
    <row r="647" spans="1:10" ht="15.75">
      <c r="A647" s="453">
        <v>144</v>
      </c>
      <c r="B647" s="773" t="s">
        <v>1200</v>
      </c>
      <c r="C647" s="453" t="s">
        <v>1198</v>
      </c>
      <c r="D647" s="69">
        <v>40</v>
      </c>
      <c r="E647" s="750" t="s">
        <v>314</v>
      </c>
      <c r="F647" s="750"/>
      <c r="G647" s="76">
        <f t="shared" si="19"/>
        <v>10</v>
      </c>
      <c r="H647" s="76">
        <f t="shared" si="20"/>
        <v>10</v>
      </c>
      <c r="I647" s="76">
        <f t="shared" si="21"/>
        <v>10</v>
      </c>
      <c r="J647" s="76">
        <f t="shared" si="22"/>
        <v>10</v>
      </c>
    </row>
    <row r="648" spans="1:10" ht="15.75">
      <c r="A648" s="453">
        <v>145</v>
      </c>
      <c r="B648" s="773" t="s">
        <v>1201</v>
      </c>
      <c r="C648" s="453" t="s">
        <v>1198</v>
      </c>
      <c r="D648" s="69">
        <v>30</v>
      </c>
      <c r="E648" s="750" t="s">
        <v>314</v>
      </c>
      <c r="F648" s="750"/>
      <c r="G648" s="76">
        <f t="shared" si="19"/>
        <v>7.5</v>
      </c>
      <c r="H648" s="76">
        <f t="shared" si="20"/>
        <v>7.5</v>
      </c>
      <c r="I648" s="76">
        <f t="shared" si="21"/>
        <v>7.5</v>
      </c>
      <c r="J648" s="76">
        <f t="shared" si="22"/>
        <v>7.5</v>
      </c>
    </row>
    <row r="649" spans="1:10" ht="15.75">
      <c r="A649" s="453">
        <v>146</v>
      </c>
      <c r="B649" s="773" t="s">
        <v>1202</v>
      </c>
      <c r="C649" s="453" t="s">
        <v>1203</v>
      </c>
      <c r="D649" s="69">
        <v>40</v>
      </c>
      <c r="E649" s="750" t="s">
        <v>314</v>
      </c>
      <c r="F649" s="750"/>
      <c r="G649" s="76">
        <f t="shared" si="19"/>
        <v>10</v>
      </c>
      <c r="H649" s="76">
        <f t="shared" si="20"/>
        <v>10</v>
      </c>
      <c r="I649" s="76">
        <f t="shared" si="21"/>
        <v>10</v>
      </c>
      <c r="J649" s="76">
        <f t="shared" si="22"/>
        <v>10</v>
      </c>
    </row>
    <row r="650" spans="1:10" ht="15.75">
      <c r="A650" s="453">
        <v>147</v>
      </c>
      <c r="B650" s="773" t="s">
        <v>1204</v>
      </c>
      <c r="C650" s="453" t="s">
        <v>1198</v>
      </c>
      <c r="D650" s="69">
        <v>25</v>
      </c>
      <c r="E650" s="750" t="s">
        <v>314</v>
      </c>
      <c r="F650" s="750"/>
      <c r="G650" s="76">
        <f t="shared" si="19"/>
        <v>6.25</v>
      </c>
      <c r="H650" s="76">
        <f t="shared" si="20"/>
        <v>6.25</v>
      </c>
      <c r="I650" s="76">
        <f t="shared" si="21"/>
        <v>6.25</v>
      </c>
      <c r="J650" s="76">
        <f t="shared" si="22"/>
        <v>6.25</v>
      </c>
    </row>
    <row r="651" spans="1:10" ht="15.75">
      <c r="A651" s="453">
        <v>148</v>
      </c>
      <c r="B651" s="773" t="s">
        <v>1205</v>
      </c>
      <c r="C651" s="453" t="s">
        <v>1198</v>
      </c>
      <c r="D651" s="69">
        <v>60</v>
      </c>
      <c r="E651" s="750" t="s">
        <v>286</v>
      </c>
      <c r="F651" s="750"/>
      <c r="G651" s="76">
        <f t="shared" si="19"/>
        <v>15</v>
      </c>
      <c r="H651" s="76">
        <f t="shared" si="20"/>
        <v>15</v>
      </c>
      <c r="I651" s="76">
        <f t="shared" si="21"/>
        <v>15</v>
      </c>
      <c r="J651" s="76">
        <f t="shared" si="22"/>
        <v>15</v>
      </c>
    </row>
    <row r="652" spans="1:10" ht="15.75">
      <c r="A652" s="453">
        <v>149</v>
      </c>
      <c r="B652" s="773" t="s">
        <v>1206</v>
      </c>
      <c r="C652" s="453" t="s">
        <v>1207</v>
      </c>
      <c r="D652" s="69">
        <v>76</v>
      </c>
      <c r="E652" s="750" t="s">
        <v>1215</v>
      </c>
      <c r="F652" s="750"/>
      <c r="G652" s="76">
        <f t="shared" si="19"/>
        <v>19</v>
      </c>
      <c r="H652" s="76">
        <f t="shared" si="20"/>
        <v>19</v>
      </c>
      <c r="I652" s="76">
        <f t="shared" si="21"/>
        <v>19</v>
      </c>
      <c r="J652" s="76">
        <f t="shared" si="22"/>
        <v>19</v>
      </c>
    </row>
    <row r="653" spans="1:10" ht="15.75">
      <c r="A653" s="453">
        <v>150</v>
      </c>
      <c r="B653" s="773" t="s">
        <v>1208</v>
      </c>
      <c r="C653" s="453" t="s">
        <v>1207</v>
      </c>
      <c r="D653" s="69">
        <v>96</v>
      </c>
      <c r="E653" s="750" t="s">
        <v>1215</v>
      </c>
      <c r="F653" s="750"/>
      <c r="G653" s="76">
        <f t="shared" si="19"/>
        <v>24</v>
      </c>
      <c r="H653" s="76">
        <f t="shared" si="20"/>
        <v>24</v>
      </c>
      <c r="I653" s="76">
        <f t="shared" si="21"/>
        <v>24</v>
      </c>
      <c r="J653" s="76">
        <f t="shared" si="22"/>
        <v>24</v>
      </c>
    </row>
    <row r="654" spans="1:10" ht="15.75">
      <c r="A654" s="453">
        <v>151</v>
      </c>
      <c r="B654" s="773" t="s">
        <v>1209</v>
      </c>
      <c r="C654" s="750" t="s">
        <v>1207</v>
      </c>
      <c r="D654" s="69">
        <v>150</v>
      </c>
      <c r="E654" s="750" t="s">
        <v>1215</v>
      </c>
      <c r="F654" s="750"/>
      <c r="G654" s="76">
        <f t="shared" si="19"/>
        <v>37.5</v>
      </c>
      <c r="H654" s="76">
        <f t="shared" si="20"/>
        <v>37.5</v>
      </c>
      <c r="I654" s="76">
        <f t="shared" si="21"/>
        <v>37.5</v>
      </c>
      <c r="J654" s="76">
        <f t="shared" si="22"/>
        <v>37.5</v>
      </c>
    </row>
    <row r="655" spans="1:10" ht="15.75">
      <c r="A655" s="453">
        <v>152</v>
      </c>
      <c r="B655" s="773" t="s">
        <v>1210</v>
      </c>
      <c r="C655" s="750" t="s">
        <v>1207</v>
      </c>
      <c r="D655" s="69">
        <v>150</v>
      </c>
      <c r="E655" s="750" t="s">
        <v>1215</v>
      </c>
      <c r="F655" s="750"/>
      <c r="G655" s="76">
        <f t="shared" si="19"/>
        <v>37.5</v>
      </c>
      <c r="H655" s="76">
        <f t="shared" si="20"/>
        <v>37.5</v>
      </c>
      <c r="I655" s="76">
        <f t="shared" si="21"/>
        <v>37.5</v>
      </c>
      <c r="J655" s="76">
        <f t="shared" si="22"/>
        <v>37.5</v>
      </c>
    </row>
    <row r="656" spans="1:10" ht="15.75">
      <c r="A656" s="453">
        <v>153</v>
      </c>
      <c r="B656" s="773" t="s">
        <v>1211</v>
      </c>
      <c r="C656" s="750" t="s">
        <v>1207</v>
      </c>
      <c r="D656" s="69">
        <v>150</v>
      </c>
      <c r="E656" s="750" t="s">
        <v>1215</v>
      </c>
      <c r="F656" s="750"/>
      <c r="G656" s="76">
        <f t="shared" si="19"/>
        <v>37.5</v>
      </c>
      <c r="H656" s="76">
        <f t="shared" si="20"/>
        <v>37.5</v>
      </c>
      <c r="I656" s="76">
        <f t="shared" si="21"/>
        <v>37.5</v>
      </c>
      <c r="J656" s="76">
        <f t="shared" si="22"/>
        <v>37.5</v>
      </c>
    </row>
    <row r="657" spans="1:10" ht="15.75">
      <c r="A657" s="453">
        <v>154</v>
      </c>
      <c r="B657" s="773" t="s">
        <v>1212</v>
      </c>
      <c r="C657" s="750"/>
      <c r="D657" s="69">
        <v>400</v>
      </c>
      <c r="E657" s="69" t="s">
        <v>1216</v>
      </c>
      <c r="F657" s="69"/>
      <c r="G657" s="76"/>
      <c r="H657" s="76">
        <v>200</v>
      </c>
      <c r="I657" s="76"/>
      <c r="J657" s="76">
        <v>400</v>
      </c>
    </row>
    <row r="658" spans="1:10" ht="21.75" customHeight="1">
      <c r="A658" s="453">
        <v>155</v>
      </c>
      <c r="B658" s="773" t="s">
        <v>1213</v>
      </c>
      <c r="C658" s="750"/>
      <c r="D658" s="69">
        <v>30</v>
      </c>
      <c r="E658" s="750" t="s">
        <v>126</v>
      </c>
      <c r="F658" s="750"/>
      <c r="G658" s="76">
        <f>D658/4</f>
        <v>7.5</v>
      </c>
      <c r="H658" s="76">
        <f>D658/4</f>
        <v>7.5</v>
      </c>
      <c r="I658" s="76">
        <f>D658/4</f>
        <v>7.5</v>
      </c>
      <c r="J658" s="76">
        <f>D658/4</f>
        <v>7.5</v>
      </c>
    </row>
    <row r="659" spans="1:10" s="669" customFormat="1" ht="21.75" customHeight="1">
      <c r="A659" s="453">
        <v>156</v>
      </c>
      <c r="B659" s="773" t="s">
        <v>1214</v>
      </c>
      <c r="C659" s="750"/>
      <c r="D659" s="69">
        <v>150</v>
      </c>
      <c r="E659" s="750" t="s">
        <v>1217</v>
      </c>
      <c r="F659" s="750"/>
      <c r="G659" s="76">
        <f>D659/4</f>
        <v>37.5</v>
      </c>
      <c r="H659" s="76">
        <f>D659/4</f>
        <v>37.5</v>
      </c>
      <c r="I659" s="76">
        <f>D659/4</f>
        <v>37.5</v>
      </c>
      <c r="J659" s="76">
        <f>D659/4</f>
        <v>37.5</v>
      </c>
    </row>
    <row r="660" spans="1:10" ht="15.75">
      <c r="A660" s="1053" t="s">
        <v>2172</v>
      </c>
      <c r="B660" s="1053"/>
      <c r="C660" s="1053"/>
      <c r="D660" s="1053"/>
      <c r="E660" s="1053"/>
      <c r="F660" s="1053"/>
      <c r="G660" s="1053"/>
      <c r="H660" s="1053"/>
      <c r="I660" s="1053"/>
      <c r="J660" s="1053"/>
    </row>
    <row r="661" spans="1:10" ht="15.75">
      <c r="A661" s="67">
        <v>157</v>
      </c>
      <c r="B661" s="765" t="s">
        <v>2256</v>
      </c>
      <c r="C661" s="453" t="s">
        <v>2257</v>
      </c>
      <c r="D661" s="452">
        <v>5</v>
      </c>
      <c r="E661" s="452" t="s">
        <v>286</v>
      </c>
      <c r="F661" s="453" t="s">
        <v>2258</v>
      </c>
      <c r="G661" s="452">
        <v>5</v>
      </c>
      <c r="H661" s="452"/>
      <c r="I661" s="452"/>
      <c r="J661" s="452"/>
    </row>
    <row r="662" spans="1:10" ht="15.75">
      <c r="A662" s="65">
        <v>158</v>
      </c>
      <c r="B662" s="773" t="s">
        <v>599</v>
      </c>
      <c r="C662" s="452" t="s">
        <v>2173</v>
      </c>
      <c r="D662" s="452">
        <v>100</v>
      </c>
      <c r="E662" s="452" t="s">
        <v>286</v>
      </c>
      <c r="F662" s="452" t="s">
        <v>2174</v>
      </c>
      <c r="G662" s="452">
        <v>50</v>
      </c>
      <c r="H662" s="452">
        <v>50</v>
      </c>
      <c r="I662" s="452"/>
      <c r="J662" s="452"/>
    </row>
    <row r="663" spans="1:10" ht="15.75">
      <c r="A663" s="453">
        <v>159</v>
      </c>
      <c r="B663" s="765" t="s">
        <v>601</v>
      </c>
      <c r="C663" s="750" t="s">
        <v>602</v>
      </c>
      <c r="D663" s="452">
        <v>10</v>
      </c>
      <c r="E663" s="452" t="s">
        <v>286</v>
      </c>
      <c r="F663" s="452" t="s">
        <v>2175</v>
      </c>
      <c r="G663" s="452">
        <v>5</v>
      </c>
      <c r="H663" s="452">
        <v>5</v>
      </c>
      <c r="I663" s="452"/>
      <c r="J663" s="452"/>
    </row>
    <row r="664" spans="1:10" ht="15.75">
      <c r="A664" s="452">
        <v>160</v>
      </c>
      <c r="B664" s="773" t="s">
        <v>2176</v>
      </c>
      <c r="C664" s="452" t="s">
        <v>2177</v>
      </c>
      <c r="D664" s="452">
        <v>10</v>
      </c>
      <c r="E664" s="452" t="s">
        <v>286</v>
      </c>
      <c r="F664" s="452" t="s">
        <v>2178</v>
      </c>
      <c r="G664" s="452">
        <v>5</v>
      </c>
      <c r="H664" s="452">
        <v>5</v>
      </c>
      <c r="I664" s="452"/>
      <c r="J664" s="452"/>
    </row>
    <row r="665" spans="1:10" ht="31.5">
      <c r="A665" s="453">
        <v>161</v>
      </c>
      <c r="B665" s="765" t="s">
        <v>603</v>
      </c>
      <c r="C665" s="453" t="s">
        <v>2179</v>
      </c>
      <c r="D665" s="452">
        <v>1000</v>
      </c>
      <c r="E665" s="452" t="s">
        <v>286</v>
      </c>
      <c r="F665" s="452"/>
      <c r="G665" s="452">
        <v>500</v>
      </c>
      <c r="H665" s="452">
        <v>500</v>
      </c>
      <c r="I665" s="452"/>
      <c r="J665" s="452"/>
    </row>
    <row r="666" spans="1:10" ht="15.75">
      <c r="A666" s="452">
        <v>162</v>
      </c>
      <c r="B666" s="779" t="s">
        <v>604</v>
      </c>
      <c r="C666" s="452"/>
      <c r="D666" s="452">
        <v>300</v>
      </c>
      <c r="E666" s="452" t="s">
        <v>286</v>
      </c>
      <c r="F666" s="452" t="s">
        <v>2175</v>
      </c>
      <c r="G666" s="452">
        <v>200</v>
      </c>
      <c r="H666" s="452">
        <v>100</v>
      </c>
      <c r="I666" s="452"/>
      <c r="J666" s="452"/>
    </row>
    <row r="667" spans="1:10" ht="15.75">
      <c r="A667" s="453">
        <v>163</v>
      </c>
      <c r="B667" s="779" t="s">
        <v>605</v>
      </c>
      <c r="C667" s="452"/>
      <c r="D667" s="452">
        <v>10</v>
      </c>
      <c r="E667" s="452" t="s">
        <v>286</v>
      </c>
      <c r="F667" s="452" t="s">
        <v>2180</v>
      </c>
      <c r="G667" s="452">
        <v>10</v>
      </c>
      <c r="H667" s="452">
        <v>10</v>
      </c>
      <c r="I667" s="452"/>
      <c r="J667" s="452"/>
    </row>
    <row r="668" spans="1:10" ht="15.75">
      <c r="A668" s="452">
        <v>164</v>
      </c>
      <c r="B668" s="779" t="s">
        <v>2181</v>
      </c>
      <c r="C668" s="452"/>
      <c r="D668" s="452">
        <v>30</v>
      </c>
      <c r="E668" s="452" t="s">
        <v>286</v>
      </c>
      <c r="F668" s="452" t="s">
        <v>2180</v>
      </c>
      <c r="G668" s="452">
        <v>20</v>
      </c>
      <c r="H668" s="452">
        <v>10</v>
      </c>
      <c r="I668" s="452"/>
      <c r="J668" s="452"/>
    </row>
    <row r="669" spans="1:10" ht="15.75">
      <c r="A669" s="453">
        <v>165</v>
      </c>
      <c r="B669" s="782" t="s">
        <v>674</v>
      </c>
      <c r="C669" s="452"/>
      <c r="D669" s="452">
        <v>10</v>
      </c>
      <c r="E669" s="452" t="s">
        <v>286</v>
      </c>
      <c r="F669" s="452" t="s">
        <v>2182</v>
      </c>
      <c r="G669" s="452">
        <v>5</v>
      </c>
      <c r="H669" s="452">
        <v>5</v>
      </c>
      <c r="I669" s="452"/>
      <c r="J669" s="452"/>
    </row>
    <row r="670" spans="1:10" s="669" customFormat="1" ht="47.25">
      <c r="A670" s="452">
        <v>166</v>
      </c>
      <c r="B670" s="779" t="s">
        <v>675</v>
      </c>
      <c r="C670" s="453" t="s">
        <v>2183</v>
      </c>
      <c r="D670" s="452">
        <v>50</v>
      </c>
      <c r="E670" s="452" t="s">
        <v>286</v>
      </c>
      <c r="F670" s="453" t="s">
        <v>2184</v>
      </c>
      <c r="G670" s="8">
        <v>50</v>
      </c>
      <c r="H670" s="750"/>
      <c r="I670" s="750"/>
      <c r="J670" s="750"/>
    </row>
    <row r="671" spans="1:10" s="669" customFormat="1" ht="15.75">
      <c r="A671" s="453">
        <v>167</v>
      </c>
      <c r="B671" s="779" t="s">
        <v>2185</v>
      </c>
      <c r="C671" s="453" t="s">
        <v>676</v>
      </c>
      <c r="D671" s="452">
        <v>50</v>
      </c>
      <c r="E671" s="452" t="s">
        <v>286</v>
      </c>
      <c r="F671" s="453" t="s">
        <v>2186</v>
      </c>
      <c r="G671" s="452">
        <v>25</v>
      </c>
      <c r="H671" s="452">
        <v>25</v>
      </c>
      <c r="I671" s="452"/>
      <c r="J671" s="452"/>
    </row>
    <row r="672" spans="1:10" ht="15.75">
      <c r="A672" s="452">
        <v>168</v>
      </c>
      <c r="B672" s="779" t="s">
        <v>2187</v>
      </c>
      <c r="C672" s="453" t="s">
        <v>2188</v>
      </c>
      <c r="D672" s="452">
        <v>100</v>
      </c>
      <c r="E672" s="452" t="s">
        <v>286</v>
      </c>
      <c r="F672" s="452"/>
      <c r="G672" s="452"/>
      <c r="H672" s="452">
        <v>50</v>
      </c>
      <c r="I672" s="452">
        <v>50</v>
      </c>
      <c r="J672" s="452"/>
    </row>
    <row r="673" spans="1:10" ht="15.75">
      <c r="A673" s="453">
        <v>169</v>
      </c>
      <c r="B673" s="783" t="s">
        <v>2189</v>
      </c>
      <c r="C673" s="453" t="s">
        <v>2190</v>
      </c>
      <c r="D673" s="452">
        <v>100</v>
      </c>
      <c r="E673" s="452" t="s">
        <v>286</v>
      </c>
      <c r="F673" s="452"/>
      <c r="G673" s="452"/>
      <c r="H673" s="452">
        <v>50</v>
      </c>
      <c r="I673" s="452">
        <v>50</v>
      </c>
      <c r="J673" s="452"/>
    </row>
    <row r="674" spans="1:10" ht="78.75">
      <c r="A674" s="452">
        <v>170</v>
      </c>
      <c r="B674" s="773" t="s">
        <v>2191</v>
      </c>
      <c r="C674" s="453" t="s">
        <v>677</v>
      </c>
      <c r="D674" s="452">
        <v>50</v>
      </c>
      <c r="E674" s="452" t="s">
        <v>286</v>
      </c>
      <c r="F674" s="452"/>
      <c r="G674" s="8">
        <v>50</v>
      </c>
      <c r="H674" s="750"/>
      <c r="I674" s="750"/>
      <c r="J674" s="750"/>
    </row>
    <row r="675" spans="1:10" ht="15.75">
      <c r="A675" s="453">
        <v>171</v>
      </c>
      <c r="B675" s="780" t="s">
        <v>2192</v>
      </c>
      <c r="C675" s="453" t="s">
        <v>689</v>
      </c>
      <c r="D675" s="452">
        <v>100</v>
      </c>
      <c r="E675" s="452" t="s">
        <v>286</v>
      </c>
      <c r="F675" s="452"/>
      <c r="G675" s="452">
        <v>50</v>
      </c>
      <c r="H675" s="452">
        <v>50</v>
      </c>
      <c r="I675" s="452"/>
      <c r="J675" s="452"/>
    </row>
    <row r="676" spans="1:10" ht="15.75">
      <c r="A676" s="452">
        <v>172</v>
      </c>
      <c r="B676" s="765" t="s">
        <v>2193</v>
      </c>
      <c r="C676" s="453" t="s">
        <v>2194</v>
      </c>
      <c r="D676" s="452">
        <v>100</v>
      </c>
      <c r="E676" s="452" t="s">
        <v>286</v>
      </c>
      <c r="F676" s="452"/>
      <c r="G676" s="452">
        <v>50</v>
      </c>
      <c r="H676" s="452">
        <v>50</v>
      </c>
      <c r="I676" s="452"/>
      <c r="J676" s="452"/>
    </row>
    <row r="677" spans="1:10" ht="15.75">
      <c r="A677" s="1057" t="s">
        <v>2195</v>
      </c>
      <c r="B677" s="1057"/>
      <c r="C677" s="1057"/>
      <c r="D677" s="1057"/>
      <c r="E677" s="1057"/>
      <c r="F677" s="1057"/>
      <c r="G677" s="1057"/>
      <c r="H677" s="1057"/>
      <c r="I677" s="1057"/>
      <c r="J677" s="1057"/>
    </row>
    <row r="678" spans="1:10" ht="15.75">
      <c r="A678" s="65">
        <v>173</v>
      </c>
      <c r="B678" s="773" t="s">
        <v>606</v>
      </c>
      <c r="C678" s="750"/>
      <c r="D678" s="64">
        <v>200</v>
      </c>
      <c r="E678" s="64" t="s">
        <v>27</v>
      </c>
      <c r="F678" s="452"/>
      <c r="G678" s="8"/>
      <c r="H678" s="750">
        <v>200</v>
      </c>
      <c r="I678" s="750"/>
      <c r="J678" s="750"/>
    </row>
    <row r="679" spans="1:10" ht="15.75">
      <c r="A679" s="452">
        <v>174</v>
      </c>
      <c r="B679" s="773" t="s">
        <v>607</v>
      </c>
      <c r="C679" s="750"/>
      <c r="D679" s="64">
        <v>200</v>
      </c>
      <c r="E679" s="64" t="s">
        <v>27</v>
      </c>
      <c r="F679" s="452"/>
      <c r="G679" s="8"/>
      <c r="H679" s="750">
        <v>200</v>
      </c>
      <c r="I679" s="750"/>
      <c r="J679" s="750"/>
    </row>
    <row r="680" spans="1:10" ht="15.75">
      <c r="A680" s="452">
        <v>175</v>
      </c>
      <c r="B680" s="773" t="s">
        <v>608</v>
      </c>
      <c r="C680" s="750"/>
      <c r="D680" s="64">
        <v>180</v>
      </c>
      <c r="E680" s="64" t="s">
        <v>27</v>
      </c>
      <c r="F680" s="452"/>
      <c r="G680" s="8"/>
      <c r="H680" s="750">
        <v>180</v>
      </c>
      <c r="I680" s="750"/>
      <c r="J680" s="750"/>
    </row>
    <row r="681" spans="1:10" ht="15.75">
      <c r="A681" s="452">
        <v>176</v>
      </c>
      <c r="B681" s="773" t="s">
        <v>609</v>
      </c>
      <c r="C681" s="750"/>
      <c r="D681" s="64">
        <v>650</v>
      </c>
      <c r="E681" s="64" t="s">
        <v>27</v>
      </c>
      <c r="F681" s="452"/>
      <c r="G681" s="8"/>
      <c r="H681" s="750">
        <v>650</v>
      </c>
      <c r="I681" s="750"/>
      <c r="J681" s="750"/>
    </row>
    <row r="682" spans="1:10" ht="15.75">
      <c r="A682" s="1057" t="s">
        <v>2243</v>
      </c>
      <c r="B682" s="1057"/>
      <c r="C682" s="1057"/>
      <c r="D682" s="1057"/>
      <c r="E682" s="1057"/>
      <c r="F682" s="1057"/>
      <c r="G682" s="1057"/>
      <c r="H682" s="1057"/>
      <c r="I682" s="1057"/>
      <c r="J682" s="1057"/>
    </row>
    <row r="683" spans="1:10" ht="15.75">
      <c r="A683" s="65">
        <v>177</v>
      </c>
      <c r="B683" s="780" t="s">
        <v>2244</v>
      </c>
      <c r="C683" s="750" t="s">
        <v>2245</v>
      </c>
      <c r="D683" s="49">
        <v>5</v>
      </c>
      <c r="E683" s="750" t="s">
        <v>286</v>
      </c>
      <c r="F683" s="452" t="s">
        <v>2216</v>
      </c>
      <c r="G683" s="452"/>
      <c r="H683" s="452"/>
      <c r="I683" s="452"/>
      <c r="J683" s="452"/>
    </row>
    <row r="684" spans="1:10" ht="15.75">
      <c r="A684" s="65">
        <v>178</v>
      </c>
      <c r="B684" s="780" t="s">
        <v>2246</v>
      </c>
      <c r="C684" s="750" t="s">
        <v>2247</v>
      </c>
      <c r="D684" s="49">
        <v>20</v>
      </c>
      <c r="E684" s="750" t="s">
        <v>286</v>
      </c>
      <c r="F684" s="452" t="s">
        <v>2216</v>
      </c>
      <c r="G684" s="452"/>
      <c r="H684" s="452"/>
      <c r="I684" s="452"/>
      <c r="J684" s="452"/>
    </row>
    <row r="685" spans="1:10" ht="15.75">
      <c r="A685" s="65">
        <v>179</v>
      </c>
      <c r="B685" s="780" t="s">
        <v>2248</v>
      </c>
      <c r="C685" s="750" t="s">
        <v>2249</v>
      </c>
      <c r="D685" s="49">
        <v>5</v>
      </c>
      <c r="E685" s="750" t="s">
        <v>286</v>
      </c>
      <c r="F685" s="453" t="s">
        <v>2250</v>
      </c>
      <c r="G685" s="452"/>
      <c r="H685" s="452"/>
      <c r="I685" s="452"/>
      <c r="J685" s="452"/>
    </row>
    <row r="686" spans="1:10" ht="26.25">
      <c r="A686" s="1029" t="s">
        <v>2846</v>
      </c>
      <c r="B686" s="1029"/>
      <c r="C686" s="1029"/>
      <c r="D686" s="1029"/>
      <c r="E686" s="1029"/>
      <c r="F686" s="1029"/>
      <c r="G686" s="1029"/>
      <c r="H686" s="1029"/>
      <c r="I686" s="1029"/>
      <c r="J686" s="1029"/>
    </row>
    <row r="687" spans="1:10" ht="15.75">
      <c r="A687" s="1047" t="s">
        <v>2071</v>
      </c>
      <c r="B687" s="1047"/>
      <c r="C687" s="1047"/>
      <c r="D687" s="1047"/>
      <c r="E687" s="1047"/>
      <c r="F687" s="1047"/>
      <c r="G687" s="1047"/>
      <c r="H687" s="1047"/>
      <c r="I687" s="1047"/>
      <c r="J687" s="1047"/>
    </row>
    <row r="688" spans="1:10" ht="78.75">
      <c r="A688" s="453">
        <v>1</v>
      </c>
      <c r="B688" s="784" t="s">
        <v>2072</v>
      </c>
      <c r="C688" s="453" t="s">
        <v>2073</v>
      </c>
      <c r="D688" s="79" t="s">
        <v>126</v>
      </c>
      <c r="E688" s="452">
        <v>1</v>
      </c>
      <c r="F688" s="104" t="s">
        <v>2122</v>
      </c>
      <c r="G688" s="750">
        <v>0</v>
      </c>
      <c r="H688" s="750">
        <v>1</v>
      </c>
      <c r="I688" s="453">
        <v>0</v>
      </c>
      <c r="J688" s="453">
        <v>0</v>
      </c>
    </row>
    <row r="689" spans="1:10" ht="283.5">
      <c r="A689" s="453">
        <v>2</v>
      </c>
      <c r="B689" s="784" t="s">
        <v>2074</v>
      </c>
      <c r="C689" s="453" t="s">
        <v>2075</v>
      </c>
      <c r="D689" s="79" t="s">
        <v>126</v>
      </c>
      <c r="E689" s="452">
        <v>2</v>
      </c>
      <c r="F689" s="104" t="s">
        <v>2123</v>
      </c>
      <c r="G689" s="750">
        <v>0</v>
      </c>
      <c r="H689" s="750">
        <v>2</v>
      </c>
      <c r="I689" s="453">
        <v>0</v>
      </c>
      <c r="J689" s="453">
        <v>0</v>
      </c>
    </row>
    <row r="690" spans="1:10" ht="409.5">
      <c r="A690" s="453">
        <v>3</v>
      </c>
      <c r="B690" s="784" t="s">
        <v>2076</v>
      </c>
      <c r="C690" s="453" t="s">
        <v>2077</v>
      </c>
      <c r="D690" s="452" t="s">
        <v>791</v>
      </c>
      <c r="E690" s="452">
        <v>6</v>
      </c>
      <c r="F690" s="104" t="s">
        <v>2124</v>
      </c>
      <c r="G690" s="750">
        <v>0</v>
      </c>
      <c r="H690" s="453">
        <v>4</v>
      </c>
      <c r="I690" s="453">
        <v>2</v>
      </c>
      <c r="J690" s="453">
        <v>0</v>
      </c>
    </row>
    <row r="691" spans="1:10" ht="409.5">
      <c r="A691" s="453">
        <v>4</v>
      </c>
      <c r="B691" s="784" t="s">
        <v>2078</v>
      </c>
      <c r="C691" s="453" t="s">
        <v>2079</v>
      </c>
      <c r="D691" s="452" t="s">
        <v>2080</v>
      </c>
      <c r="E691" s="452">
        <v>6</v>
      </c>
      <c r="F691" s="104" t="s">
        <v>2125</v>
      </c>
      <c r="G691" s="750">
        <v>0</v>
      </c>
      <c r="H691" s="453">
        <v>4</v>
      </c>
      <c r="I691" s="453">
        <v>2</v>
      </c>
      <c r="J691" s="453">
        <v>0</v>
      </c>
    </row>
    <row r="692" spans="1:10" ht="15.75">
      <c r="A692" s="1047" t="s">
        <v>810</v>
      </c>
      <c r="B692" s="1047"/>
      <c r="C692" s="1047"/>
      <c r="D692" s="1047"/>
      <c r="E692" s="1047"/>
      <c r="F692" s="1047"/>
      <c r="G692" s="1047"/>
      <c r="H692" s="1047"/>
      <c r="I692" s="1047"/>
      <c r="J692" s="1047"/>
    </row>
    <row r="693" spans="1:10" ht="126">
      <c r="A693" s="66">
        <v>5</v>
      </c>
      <c r="B693" s="179" t="s">
        <v>20</v>
      </c>
      <c r="C693" s="674" t="s">
        <v>140</v>
      </c>
      <c r="D693" s="674" t="s">
        <v>2063</v>
      </c>
      <c r="E693" s="674">
        <v>9</v>
      </c>
      <c r="F693" s="750" t="s">
        <v>2126</v>
      </c>
      <c r="G693" s="674">
        <v>0</v>
      </c>
      <c r="H693" s="670">
        <v>5</v>
      </c>
      <c r="I693" s="670">
        <v>4</v>
      </c>
      <c r="J693" s="670">
        <v>0</v>
      </c>
    </row>
    <row r="694" spans="1:10" ht="66">
      <c r="A694" s="66">
        <v>6</v>
      </c>
      <c r="B694" s="179" t="s">
        <v>792</v>
      </c>
      <c r="C694" s="674" t="s">
        <v>2714</v>
      </c>
      <c r="D694" s="674" t="s">
        <v>2063</v>
      </c>
      <c r="E694" s="674">
        <v>9</v>
      </c>
      <c r="F694" s="750" t="s">
        <v>2126</v>
      </c>
      <c r="G694" s="674">
        <v>0</v>
      </c>
      <c r="H694" s="670">
        <v>5</v>
      </c>
      <c r="I694" s="670">
        <v>4</v>
      </c>
      <c r="J694" s="670">
        <v>0</v>
      </c>
    </row>
    <row r="695" spans="1:10" ht="94.5">
      <c r="A695" s="66">
        <v>7</v>
      </c>
      <c r="B695" s="179" t="s">
        <v>22</v>
      </c>
      <c r="C695" s="674" t="s">
        <v>141</v>
      </c>
      <c r="D695" s="674" t="s">
        <v>126</v>
      </c>
      <c r="E695" s="674">
        <v>9</v>
      </c>
      <c r="F695" s="750" t="s">
        <v>2126</v>
      </c>
      <c r="G695" s="674">
        <v>0</v>
      </c>
      <c r="H695" s="670">
        <v>5</v>
      </c>
      <c r="I695" s="670">
        <v>4</v>
      </c>
      <c r="J695" s="670">
        <v>0</v>
      </c>
    </row>
    <row r="696" spans="1:10" ht="47.25">
      <c r="A696" s="66">
        <v>8</v>
      </c>
      <c r="B696" s="784" t="s">
        <v>793</v>
      </c>
      <c r="C696" s="453" t="s">
        <v>794</v>
      </c>
      <c r="D696" s="674" t="s">
        <v>126</v>
      </c>
      <c r="E696" s="674">
        <v>200</v>
      </c>
      <c r="F696" s="674" t="s">
        <v>2127</v>
      </c>
      <c r="G696" s="674">
        <v>0</v>
      </c>
      <c r="H696" s="670">
        <v>100</v>
      </c>
      <c r="I696" s="670">
        <v>100</v>
      </c>
      <c r="J696" s="670">
        <v>0</v>
      </c>
    </row>
    <row r="697" spans="1:10" ht="78.75">
      <c r="A697" s="66">
        <v>9</v>
      </c>
      <c r="B697" s="179" t="s">
        <v>33</v>
      </c>
      <c r="C697" s="674" t="s">
        <v>2715</v>
      </c>
      <c r="D697" s="674" t="s">
        <v>126</v>
      </c>
      <c r="E697" s="674">
        <v>2</v>
      </c>
      <c r="F697" s="674" t="s">
        <v>2128</v>
      </c>
      <c r="G697" s="674">
        <v>0</v>
      </c>
      <c r="H697" s="670">
        <v>2</v>
      </c>
      <c r="I697" s="670">
        <v>0</v>
      </c>
      <c r="J697" s="670">
        <v>0</v>
      </c>
    </row>
    <row r="698" spans="1:10" ht="78.75">
      <c r="A698" s="66">
        <v>10</v>
      </c>
      <c r="B698" s="179" t="s">
        <v>33</v>
      </c>
      <c r="C698" s="674" t="s">
        <v>2716</v>
      </c>
      <c r="D698" s="674" t="s">
        <v>126</v>
      </c>
      <c r="E698" s="674">
        <v>1</v>
      </c>
      <c r="F698" s="674" t="s">
        <v>2129</v>
      </c>
      <c r="G698" s="674">
        <v>0</v>
      </c>
      <c r="H698" s="670">
        <v>1</v>
      </c>
      <c r="I698" s="670">
        <v>0</v>
      </c>
      <c r="J698" s="670">
        <v>0</v>
      </c>
    </row>
    <row r="699" spans="1:10" ht="346.5">
      <c r="A699" s="66">
        <v>11</v>
      </c>
      <c r="B699" s="773" t="s">
        <v>795</v>
      </c>
      <c r="C699" s="750" t="s">
        <v>796</v>
      </c>
      <c r="D699" s="674" t="s">
        <v>126</v>
      </c>
      <c r="E699" s="750">
        <v>10</v>
      </c>
      <c r="F699" s="453" t="s">
        <v>2130</v>
      </c>
      <c r="G699" s="674">
        <v>0</v>
      </c>
      <c r="H699" s="670">
        <v>10</v>
      </c>
      <c r="I699" s="453">
        <v>0</v>
      </c>
      <c r="J699" s="670">
        <v>0</v>
      </c>
    </row>
    <row r="700" spans="1:10" ht="63">
      <c r="A700" s="66">
        <v>12</v>
      </c>
      <c r="B700" s="179" t="s">
        <v>60</v>
      </c>
      <c r="C700" s="674" t="s">
        <v>142</v>
      </c>
      <c r="D700" s="674" t="s">
        <v>126</v>
      </c>
      <c r="E700" s="750">
        <v>3</v>
      </c>
      <c r="F700" s="674" t="s">
        <v>2131</v>
      </c>
      <c r="G700" s="674">
        <v>0</v>
      </c>
      <c r="H700" s="670">
        <v>3</v>
      </c>
      <c r="I700" s="670">
        <v>0</v>
      </c>
      <c r="J700" s="670">
        <v>0</v>
      </c>
    </row>
    <row r="701" spans="1:10" ht="63">
      <c r="A701" s="66">
        <v>13</v>
      </c>
      <c r="B701" s="773" t="s">
        <v>797</v>
      </c>
      <c r="C701" s="750" t="s">
        <v>143</v>
      </c>
      <c r="D701" s="674" t="s">
        <v>126</v>
      </c>
      <c r="E701" s="750">
        <v>5</v>
      </c>
      <c r="F701" s="674" t="s">
        <v>2132</v>
      </c>
      <c r="G701" s="674">
        <v>0</v>
      </c>
      <c r="H701" s="670">
        <v>5</v>
      </c>
      <c r="I701" s="453">
        <v>0</v>
      </c>
      <c r="J701" s="670">
        <v>0</v>
      </c>
    </row>
    <row r="702" spans="1:10" ht="63">
      <c r="A702" s="66">
        <v>14</v>
      </c>
      <c r="B702" s="179" t="s">
        <v>61</v>
      </c>
      <c r="C702" s="674" t="s">
        <v>144</v>
      </c>
      <c r="D702" s="674" t="s">
        <v>126</v>
      </c>
      <c r="E702" s="674">
        <v>6</v>
      </c>
      <c r="F702" s="674" t="s">
        <v>2133</v>
      </c>
      <c r="G702" s="674">
        <v>0</v>
      </c>
      <c r="H702" s="670">
        <v>6</v>
      </c>
      <c r="I702" s="670">
        <v>0</v>
      </c>
      <c r="J702" s="670">
        <v>0</v>
      </c>
    </row>
    <row r="703" spans="1:10" ht="110.25">
      <c r="A703" s="66">
        <v>15</v>
      </c>
      <c r="B703" s="179" t="s">
        <v>798</v>
      </c>
      <c r="C703" s="83" t="s">
        <v>799</v>
      </c>
      <c r="D703" s="83" t="s">
        <v>68</v>
      </c>
      <c r="E703" s="674">
        <v>250</v>
      </c>
      <c r="F703" s="674" t="s">
        <v>2134</v>
      </c>
      <c r="G703" s="674">
        <v>0</v>
      </c>
      <c r="H703" s="670">
        <v>150</v>
      </c>
      <c r="I703" s="670">
        <v>100</v>
      </c>
      <c r="J703" s="670">
        <v>0</v>
      </c>
    </row>
    <row r="704" spans="1:10" ht="94.5">
      <c r="A704" s="66">
        <v>16</v>
      </c>
      <c r="B704" s="179" t="s">
        <v>800</v>
      </c>
      <c r="C704" s="83" t="s">
        <v>801</v>
      </c>
      <c r="D704" s="83" t="s">
        <v>126</v>
      </c>
      <c r="E704" s="674">
        <v>1</v>
      </c>
      <c r="F704" s="674" t="s">
        <v>2135</v>
      </c>
      <c r="G704" s="674">
        <v>0</v>
      </c>
      <c r="H704" s="670">
        <v>1</v>
      </c>
      <c r="I704" s="670">
        <v>0</v>
      </c>
      <c r="J704" s="670">
        <v>0</v>
      </c>
    </row>
    <row r="705" spans="1:10" ht="94.5">
      <c r="A705" s="66">
        <v>17</v>
      </c>
      <c r="B705" s="179" t="s">
        <v>800</v>
      </c>
      <c r="C705" s="83" t="s">
        <v>2717</v>
      </c>
      <c r="D705" s="83" t="s">
        <v>126</v>
      </c>
      <c r="E705" s="674">
        <v>5</v>
      </c>
      <c r="F705" s="674" t="s">
        <v>2136</v>
      </c>
      <c r="G705" s="674">
        <v>0</v>
      </c>
      <c r="H705" s="670">
        <v>5</v>
      </c>
      <c r="I705" s="670">
        <v>0</v>
      </c>
      <c r="J705" s="670">
        <v>0</v>
      </c>
    </row>
    <row r="706" spans="1:10" ht="94.5">
      <c r="A706" s="66">
        <v>18</v>
      </c>
      <c r="B706" s="784" t="s">
        <v>802</v>
      </c>
      <c r="C706" s="750" t="s">
        <v>145</v>
      </c>
      <c r="D706" s="83" t="s">
        <v>126</v>
      </c>
      <c r="E706" s="750">
        <v>2</v>
      </c>
      <c r="F706" s="749" t="s">
        <v>2137</v>
      </c>
      <c r="G706" s="674">
        <v>0</v>
      </c>
      <c r="H706" s="670">
        <v>2</v>
      </c>
      <c r="I706" s="453">
        <v>0</v>
      </c>
      <c r="J706" s="670">
        <v>0</v>
      </c>
    </row>
    <row r="707" spans="1:10" ht="141.75">
      <c r="A707" s="66">
        <v>19</v>
      </c>
      <c r="B707" s="785" t="s">
        <v>803</v>
      </c>
      <c r="C707" s="674" t="s">
        <v>105</v>
      </c>
      <c r="D707" s="83" t="s">
        <v>126</v>
      </c>
      <c r="E707" s="674">
        <v>8</v>
      </c>
      <c r="F707" s="749" t="s">
        <v>2138</v>
      </c>
      <c r="G707" s="674">
        <v>0</v>
      </c>
      <c r="H707" s="670">
        <v>6</v>
      </c>
      <c r="I707" s="670">
        <v>2</v>
      </c>
      <c r="J707" s="670">
        <v>0</v>
      </c>
    </row>
    <row r="708" spans="1:10" ht="346.5">
      <c r="A708" s="66">
        <v>20</v>
      </c>
      <c r="B708" s="773" t="s">
        <v>157</v>
      </c>
      <c r="C708" s="750" t="s">
        <v>158</v>
      </c>
      <c r="D708" s="83" t="s">
        <v>126</v>
      </c>
      <c r="E708" s="750">
        <v>10</v>
      </c>
      <c r="F708" s="453" t="s">
        <v>2139</v>
      </c>
      <c r="G708" s="674">
        <v>0</v>
      </c>
      <c r="H708" s="670">
        <v>10</v>
      </c>
      <c r="I708" s="452">
        <v>0</v>
      </c>
      <c r="J708" s="670">
        <v>0</v>
      </c>
    </row>
    <row r="709" spans="1:10" ht="141.75">
      <c r="A709" s="66">
        <v>21</v>
      </c>
      <c r="B709" s="773" t="s">
        <v>804</v>
      </c>
      <c r="C709" s="674" t="s">
        <v>805</v>
      </c>
      <c r="D709" s="750" t="s">
        <v>68</v>
      </c>
      <c r="E709" s="750">
        <v>100</v>
      </c>
      <c r="F709" s="453" t="s">
        <v>2140</v>
      </c>
      <c r="G709" s="674">
        <v>0</v>
      </c>
      <c r="H709" s="670">
        <v>100</v>
      </c>
      <c r="I709" s="452">
        <v>0</v>
      </c>
      <c r="J709" s="670">
        <v>0</v>
      </c>
    </row>
    <row r="710" spans="1:10" ht="110.25">
      <c r="A710" s="66">
        <v>22</v>
      </c>
      <c r="B710" s="773" t="s">
        <v>806</v>
      </c>
      <c r="C710" s="750" t="s">
        <v>807</v>
      </c>
      <c r="D710" s="85" t="s">
        <v>126</v>
      </c>
      <c r="E710" s="452">
        <v>10</v>
      </c>
      <c r="F710" s="749" t="s">
        <v>2141</v>
      </c>
      <c r="G710" s="674">
        <v>0</v>
      </c>
      <c r="H710" s="670">
        <v>10</v>
      </c>
      <c r="I710" s="452">
        <v>0</v>
      </c>
      <c r="J710" s="670">
        <v>0</v>
      </c>
    </row>
    <row r="711" spans="1:10" ht="94.5">
      <c r="A711" s="66">
        <v>23</v>
      </c>
      <c r="B711" s="179" t="s">
        <v>33</v>
      </c>
      <c r="C711" s="750" t="s">
        <v>2064</v>
      </c>
      <c r="D711" s="85" t="s">
        <v>126</v>
      </c>
      <c r="E711" s="452">
        <v>3</v>
      </c>
      <c r="F711" s="674" t="s">
        <v>2142</v>
      </c>
      <c r="G711" s="674">
        <v>0</v>
      </c>
      <c r="H711" s="670">
        <v>3</v>
      </c>
      <c r="I711" s="452">
        <v>0</v>
      </c>
      <c r="J711" s="670">
        <v>0</v>
      </c>
    </row>
    <row r="712" spans="1:10" ht="110.25">
      <c r="A712" s="66">
        <v>24</v>
      </c>
      <c r="B712" s="769" t="s">
        <v>808</v>
      </c>
      <c r="C712" s="670" t="s">
        <v>809</v>
      </c>
      <c r="D712" s="85" t="s">
        <v>126</v>
      </c>
      <c r="E712" s="670">
        <v>10</v>
      </c>
      <c r="F712" s="750" t="s">
        <v>2143</v>
      </c>
      <c r="G712" s="674">
        <v>0</v>
      </c>
      <c r="H712" s="670">
        <v>10</v>
      </c>
      <c r="I712" s="670">
        <v>0</v>
      </c>
      <c r="J712" s="670">
        <v>0</v>
      </c>
    </row>
    <row r="713" spans="1:10" ht="15.75">
      <c r="A713" s="1057" t="s">
        <v>2147</v>
      </c>
      <c r="B713" s="1057"/>
      <c r="C713" s="1057"/>
      <c r="D713" s="1057"/>
      <c r="E713" s="1057"/>
      <c r="F713" s="1057"/>
      <c r="G713" s="1057"/>
      <c r="H713" s="1057"/>
      <c r="I713" s="1057"/>
      <c r="J713" s="1057"/>
    </row>
    <row r="714" spans="1:10" ht="94.5">
      <c r="A714" s="453">
        <v>25</v>
      </c>
      <c r="B714" s="785" t="s">
        <v>2148</v>
      </c>
      <c r="C714" s="670" t="s">
        <v>2149</v>
      </c>
      <c r="D714" s="452" t="s">
        <v>286</v>
      </c>
      <c r="E714" s="59">
        <v>2</v>
      </c>
      <c r="F714" s="670" t="s">
        <v>2150</v>
      </c>
      <c r="G714" s="750">
        <v>0</v>
      </c>
      <c r="H714" s="670">
        <v>2</v>
      </c>
      <c r="I714" s="670">
        <v>0</v>
      </c>
      <c r="J714" s="453">
        <v>0</v>
      </c>
    </row>
    <row r="715" spans="1:10" ht="78.75">
      <c r="A715" s="66">
        <v>26</v>
      </c>
      <c r="B715" s="785" t="s">
        <v>2151</v>
      </c>
      <c r="C715" s="670" t="s">
        <v>2152</v>
      </c>
      <c r="D715" s="85" t="s">
        <v>286</v>
      </c>
      <c r="E715" s="59">
        <v>2000</v>
      </c>
      <c r="F715" s="670" t="s">
        <v>2153</v>
      </c>
      <c r="G715" s="750">
        <v>0</v>
      </c>
      <c r="H715" s="670">
        <v>2000</v>
      </c>
      <c r="I715" s="670">
        <v>0</v>
      </c>
      <c r="J715" s="453">
        <v>0</v>
      </c>
    </row>
    <row r="716" spans="1:10" ht="47.25">
      <c r="A716" s="453">
        <v>27</v>
      </c>
      <c r="B716" s="785" t="s">
        <v>2154</v>
      </c>
      <c r="C716" s="670" t="s">
        <v>2155</v>
      </c>
      <c r="D716" s="85" t="s">
        <v>286</v>
      </c>
      <c r="E716" s="59">
        <v>100</v>
      </c>
      <c r="F716" s="670" t="s">
        <v>2153</v>
      </c>
      <c r="G716" s="750">
        <v>0</v>
      </c>
      <c r="H716" s="670">
        <v>100</v>
      </c>
      <c r="I716" s="670">
        <v>0</v>
      </c>
      <c r="J716" s="453">
        <v>0</v>
      </c>
    </row>
    <row r="717" spans="1:10" ht="141.75">
      <c r="A717" s="66">
        <v>28</v>
      </c>
      <c r="B717" s="769" t="s">
        <v>2156</v>
      </c>
      <c r="C717" s="670" t="s">
        <v>2157</v>
      </c>
      <c r="D717" s="85" t="s">
        <v>68</v>
      </c>
      <c r="E717" s="59">
        <v>10000</v>
      </c>
      <c r="F717" s="670" t="s">
        <v>2158</v>
      </c>
      <c r="G717" s="750">
        <v>0</v>
      </c>
      <c r="H717" s="670">
        <v>10000</v>
      </c>
      <c r="I717" s="670">
        <v>0</v>
      </c>
      <c r="J717" s="453">
        <v>0</v>
      </c>
    </row>
    <row r="718" spans="1:10" ht="94.5">
      <c r="A718" s="453">
        <v>29</v>
      </c>
      <c r="B718" s="769" t="s">
        <v>2159</v>
      </c>
      <c r="C718" s="670" t="s">
        <v>2157</v>
      </c>
      <c r="D718" s="85" t="s">
        <v>68</v>
      </c>
      <c r="E718" s="59">
        <v>5000</v>
      </c>
      <c r="F718" s="670" t="s">
        <v>2160</v>
      </c>
      <c r="G718" s="750">
        <v>0</v>
      </c>
      <c r="H718" s="670">
        <v>5000</v>
      </c>
      <c r="I718" s="670">
        <v>0</v>
      </c>
      <c r="J718" s="453">
        <v>0</v>
      </c>
    </row>
    <row r="719" spans="1:10" ht="94.5">
      <c r="A719" s="66">
        <v>30</v>
      </c>
      <c r="B719" s="773" t="s">
        <v>2161</v>
      </c>
      <c r="C719" s="670" t="s">
        <v>2149</v>
      </c>
      <c r="D719" s="59" t="s">
        <v>286</v>
      </c>
      <c r="E719" s="674">
        <v>2</v>
      </c>
      <c r="F719" s="670" t="s">
        <v>2162</v>
      </c>
      <c r="G719" s="750">
        <v>0</v>
      </c>
      <c r="H719" s="670">
        <v>2</v>
      </c>
      <c r="I719" s="670">
        <v>0</v>
      </c>
      <c r="J719" s="453">
        <v>0</v>
      </c>
    </row>
    <row r="720" spans="1:10" ht="26.25">
      <c r="A720" s="1029" t="s">
        <v>2847</v>
      </c>
      <c r="B720" s="1029"/>
      <c r="C720" s="1029"/>
      <c r="D720" s="1029"/>
      <c r="E720" s="1029"/>
      <c r="F720" s="1029"/>
      <c r="G720" s="1029"/>
      <c r="H720" s="1029"/>
      <c r="I720" s="1029"/>
      <c r="J720" s="1029"/>
    </row>
    <row r="721" spans="1:10" ht="18.75">
      <c r="A721" s="1034" t="s">
        <v>1286</v>
      </c>
      <c r="B721" s="1035"/>
      <c r="C721" s="1035"/>
      <c r="D721" s="1035"/>
      <c r="E721" s="1035"/>
      <c r="F721" s="1035"/>
      <c r="G721" s="1035"/>
      <c r="H721" s="1035"/>
      <c r="I721" s="1035"/>
      <c r="J721" s="1036"/>
    </row>
    <row r="722" spans="1:10">
      <c r="A722" s="96">
        <v>1</v>
      </c>
      <c r="B722" s="786" t="s">
        <v>1287</v>
      </c>
      <c r="C722" s="761" t="s">
        <v>1288</v>
      </c>
      <c r="D722" s="761">
        <v>30</v>
      </c>
      <c r="E722" s="761" t="s">
        <v>286</v>
      </c>
      <c r="F722" s="475"/>
      <c r="G722" s="475"/>
      <c r="H722" s="475"/>
      <c r="I722" s="475"/>
      <c r="J722" s="475"/>
    </row>
    <row r="723" spans="1:10">
      <c r="A723" s="96">
        <v>2</v>
      </c>
      <c r="B723" s="786" t="s">
        <v>1289</v>
      </c>
      <c r="C723" s="761" t="s">
        <v>1290</v>
      </c>
      <c r="D723" s="761">
        <v>12</v>
      </c>
      <c r="E723" s="761" t="s">
        <v>286</v>
      </c>
      <c r="F723" s="475"/>
      <c r="G723" s="475"/>
      <c r="H723" s="475"/>
      <c r="I723" s="475"/>
      <c r="J723" s="475"/>
    </row>
    <row r="724" spans="1:10" ht="18.75">
      <c r="A724" s="1034" t="s">
        <v>1291</v>
      </c>
      <c r="B724" s="1035"/>
      <c r="C724" s="1035"/>
      <c r="D724" s="1035"/>
      <c r="E724" s="1035"/>
      <c r="F724" s="1035"/>
      <c r="G724" s="1035"/>
      <c r="H724" s="1035"/>
      <c r="I724" s="1035"/>
      <c r="J724" s="1036"/>
    </row>
    <row r="725" spans="1:10">
      <c r="A725" s="96">
        <v>3</v>
      </c>
      <c r="B725" s="490" t="s">
        <v>1954</v>
      </c>
      <c r="C725" s="466"/>
      <c r="D725" s="470">
        <f>G725+H725+I725+J725</f>
        <v>12</v>
      </c>
      <c r="E725" s="467" t="s">
        <v>286</v>
      </c>
      <c r="F725" s="472"/>
      <c r="G725" s="470">
        <v>2</v>
      </c>
      <c r="H725" s="470">
        <v>4</v>
      </c>
      <c r="I725" s="470">
        <v>4</v>
      </c>
      <c r="J725" s="470">
        <v>2</v>
      </c>
    </row>
    <row r="726" spans="1:10">
      <c r="A726" s="96">
        <v>4</v>
      </c>
      <c r="B726" s="490" t="s">
        <v>1292</v>
      </c>
      <c r="C726" s="466" t="s">
        <v>1293</v>
      </c>
      <c r="D726" s="470">
        <v>12</v>
      </c>
      <c r="E726" s="467" t="s">
        <v>286</v>
      </c>
      <c r="F726" s="472"/>
      <c r="G726" s="470">
        <v>0</v>
      </c>
      <c r="H726" s="470">
        <v>4</v>
      </c>
      <c r="I726" s="470">
        <v>4</v>
      </c>
      <c r="J726" s="470">
        <v>4</v>
      </c>
    </row>
    <row r="727" spans="1:10">
      <c r="A727" s="96">
        <v>5</v>
      </c>
      <c r="B727" s="490" t="s">
        <v>1955</v>
      </c>
      <c r="C727" s="466" t="s">
        <v>1956</v>
      </c>
      <c r="D727" s="470">
        <f>G727+H727+I727+J727</f>
        <v>10</v>
      </c>
      <c r="E727" s="467" t="s">
        <v>286</v>
      </c>
      <c r="F727" s="472"/>
      <c r="G727" s="470">
        <v>2</v>
      </c>
      <c r="H727" s="470">
        <v>2</v>
      </c>
      <c r="I727" s="470">
        <v>3</v>
      </c>
      <c r="J727" s="470">
        <v>3</v>
      </c>
    </row>
    <row r="728" spans="1:10">
      <c r="A728" s="96">
        <v>6</v>
      </c>
      <c r="B728" s="490" t="s">
        <v>1294</v>
      </c>
      <c r="C728" s="466" t="s">
        <v>1295</v>
      </c>
      <c r="D728" s="470">
        <v>8</v>
      </c>
      <c r="E728" s="467" t="s">
        <v>286</v>
      </c>
      <c r="F728" s="472"/>
      <c r="G728" s="470">
        <v>0</v>
      </c>
      <c r="H728" s="470">
        <v>4</v>
      </c>
      <c r="I728" s="470">
        <v>4</v>
      </c>
      <c r="J728" s="470">
        <v>0</v>
      </c>
    </row>
    <row r="729" spans="1:10">
      <c r="A729" s="96">
        <v>7</v>
      </c>
      <c r="B729" s="490" t="s">
        <v>1296</v>
      </c>
      <c r="C729" s="466" t="s">
        <v>1297</v>
      </c>
      <c r="D729" s="470">
        <v>20</v>
      </c>
      <c r="E729" s="467" t="s">
        <v>286</v>
      </c>
      <c r="F729" s="472"/>
      <c r="G729" s="470">
        <v>0</v>
      </c>
      <c r="H729" s="470">
        <v>10</v>
      </c>
      <c r="I729" s="470">
        <v>5</v>
      </c>
      <c r="J729" s="470">
        <v>5</v>
      </c>
    </row>
    <row r="730" spans="1:10">
      <c r="A730" s="96">
        <v>8</v>
      </c>
      <c r="B730" s="490" t="s">
        <v>1957</v>
      </c>
      <c r="C730" s="466" t="s">
        <v>1958</v>
      </c>
      <c r="D730" s="470">
        <f t="shared" ref="D730:D736" si="23">G730+H730+I730+J730</f>
        <v>20</v>
      </c>
      <c r="E730" s="467" t="s">
        <v>286</v>
      </c>
      <c r="F730" s="472"/>
      <c r="G730" s="470">
        <v>4</v>
      </c>
      <c r="H730" s="470">
        <v>4</v>
      </c>
      <c r="I730" s="470">
        <v>6</v>
      </c>
      <c r="J730" s="470">
        <v>6</v>
      </c>
    </row>
    <row r="731" spans="1:10">
      <c r="A731" s="96">
        <v>9</v>
      </c>
      <c r="B731" s="490" t="s">
        <v>1959</v>
      </c>
      <c r="C731" s="466" t="s">
        <v>1960</v>
      </c>
      <c r="D731" s="470">
        <f t="shared" si="23"/>
        <v>12</v>
      </c>
      <c r="E731" s="467" t="s">
        <v>286</v>
      </c>
      <c r="F731" s="472"/>
      <c r="G731" s="470">
        <v>3</v>
      </c>
      <c r="H731" s="470">
        <v>3</v>
      </c>
      <c r="I731" s="470">
        <v>4</v>
      </c>
      <c r="J731" s="470">
        <v>2</v>
      </c>
    </row>
    <row r="732" spans="1:10">
      <c r="A732" s="96">
        <v>10</v>
      </c>
      <c r="B732" s="490" t="s">
        <v>1961</v>
      </c>
      <c r="C732" s="466" t="s">
        <v>1962</v>
      </c>
      <c r="D732" s="470">
        <f t="shared" si="23"/>
        <v>46</v>
      </c>
      <c r="E732" s="467" t="s">
        <v>286</v>
      </c>
      <c r="F732" s="472"/>
      <c r="G732" s="470">
        <v>8</v>
      </c>
      <c r="H732" s="470">
        <v>8</v>
      </c>
      <c r="I732" s="470">
        <v>16</v>
      </c>
      <c r="J732" s="470">
        <v>14</v>
      </c>
    </row>
    <row r="733" spans="1:10">
      <c r="A733" s="96">
        <v>11</v>
      </c>
      <c r="B733" s="490" t="s">
        <v>1963</v>
      </c>
      <c r="C733" s="466"/>
      <c r="D733" s="470">
        <f t="shared" si="23"/>
        <v>22</v>
      </c>
      <c r="E733" s="467" t="s">
        <v>286</v>
      </c>
      <c r="F733" s="472"/>
      <c r="G733" s="470">
        <v>4</v>
      </c>
      <c r="H733" s="470">
        <v>4</v>
      </c>
      <c r="I733" s="470">
        <v>8</v>
      </c>
      <c r="J733" s="470">
        <v>6</v>
      </c>
    </row>
    <row r="734" spans="1:10">
      <c r="A734" s="96">
        <v>12</v>
      </c>
      <c r="B734" s="490" t="s">
        <v>1964</v>
      </c>
      <c r="C734" s="466" t="s">
        <v>1965</v>
      </c>
      <c r="D734" s="470">
        <f t="shared" si="23"/>
        <v>4</v>
      </c>
      <c r="E734" s="467" t="s">
        <v>286</v>
      </c>
      <c r="F734" s="472"/>
      <c r="G734" s="470">
        <v>2</v>
      </c>
      <c r="H734" s="470">
        <v>2</v>
      </c>
      <c r="I734" s="470">
        <v>0</v>
      </c>
      <c r="J734" s="470">
        <v>0</v>
      </c>
    </row>
    <row r="735" spans="1:10">
      <c r="A735" s="96">
        <v>13</v>
      </c>
      <c r="B735" s="490" t="s">
        <v>1966</v>
      </c>
      <c r="C735" s="466" t="s">
        <v>1967</v>
      </c>
      <c r="D735" s="470">
        <f t="shared" si="23"/>
        <v>8</v>
      </c>
      <c r="E735" s="467" t="s">
        <v>286</v>
      </c>
      <c r="F735" s="472"/>
      <c r="G735" s="470">
        <v>4</v>
      </c>
      <c r="H735" s="470">
        <v>4</v>
      </c>
      <c r="I735" s="470">
        <v>0</v>
      </c>
      <c r="J735" s="470">
        <v>0</v>
      </c>
    </row>
    <row r="736" spans="1:10">
      <c r="A736" s="96">
        <v>14</v>
      </c>
      <c r="B736" s="490" t="s">
        <v>1968</v>
      </c>
      <c r="C736" s="466" t="s">
        <v>1969</v>
      </c>
      <c r="D736" s="470">
        <f t="shared" si="23"/>
        <v>8</v>
      </c>
      <c r="E736" s="467" t="s">
        <v>286</v>
      </c>
      <c r="F736" s="472"/>
      <c r="G736" s="470">
        <v>4</v>
      </c>
      <c r="H736" s="470">
        <v>4</v>
      </c>
      <c r="I736" s="470">
        <v>0</v>
      </c>
      <c r="J736" s="470">
        <v>0</v>
      </c>
    </row>
    <row r="737" spans="1:10" ht="18.75">
      <c r="A737" s="1034" t="s">
        <v>1298</v>
      </c>
      <c r="B737" s="1035"/>
      <c r="C737" s="1035"/>
      <c r="D737" s="1035"/>
      <c r="E737" s="1035"/>
      <c r="F737" s="1035"/>
      <c r="G737" s="1035"/>
      <c r="H737" s="1035"/>
      <c r="I737" s="1035"/>
      <c r="J737" s="1036"/>
    </row>
    <row r="738" spans="1:10">
      <c r="A738" s="96">
        <v>15</v>
      </c>
      <c r="B738" s="490" t="s">
        <v>1299</v>
      </c>
      <c r="C738" s="466" t="s">
        <v>1300</v>
      </c>
      <c r="D738" s="470">
        <v>8</v>
      </c>
      <c r="E738" s="467" t="s">
        <v>286</v>
      </c>
      <c r="F738" s="472"/>
      <c r="G738" s="470">
        <v>10</v>
      </c>
      <c r="H738" s="470">
        <v>10</v>
      </c>
      <c r="I738" s="470">
        <v>10</v>
      </c>
      <c r="J738" s="470">
        <v>10</v>
      </c>
    </row>
    <row r="739" spans="1:10">
      <c r="A739" s="96">
        <v>16</v>
      </c>
      <c r="B739" s="490" t="s">
        <v>1301</v>
      </c>
      <c r="C739" s="466" t="s">
        <v>1302</v>
      </c>
      <c r="D739" s="470">
        <v>20</v>
      </c>
      <c r="E739" s="467" t="s">
        <v>286</v>
      </c>
      <c r="F739" s="472"/>
      <c r="G739" s="470">
        <v>15</v>
      </c>
      <c r="H739" s="470">
        <v>15</v>
      </c>
      <c r="I739" s="470">
        <v>15</v>
      </c>
      <c r="J739" s="470">
        <v>15</v>
      </c>
    </row>
    <row r="740" spans="1:10">
      <c r="A740" s="96">
        <v>17</v>
      </c>
      <c r="B740" s="490" t="s">
        <v>1970</v>
      </c>
      <c r="C740" s="466" t="s">
        <v>1971</v>
      </c>
      <c r="D740" s="470">
        <f t="shared" ref="D740:D750" si="24">G740+H740+I740+J740</f>
        <v>8</v>
      </c>
      <c r="E740" s="467" t="s">
        <v>286</v>
      </c>
      <c r="F740" s="472"/>
      <c r="G740" s="470">
        <v>4</v>
      </c>
      <c r="H740" s="470">
        <v>4</v>
      </c>
      <c r="I740" s="470">
        <v>0</v>
      </c>
      <c r="J740" s="470">
        <v>0</v>
      </c>
    </row>
    <row r="741" spans="1:10">
      <c r="A741" s="96">
        <v>18</v>
      </c>
      <c r="B741" s="490" t="s">
        <v>1972</v>
      </c>
      <c r="C741" s="466" t="s">
        <v>1973</v>
      </c>
      <c r="D741" s="470">
        <f t="shared" si="24"/>
        <v>10</v>
      </c>
      <c r="E741" s="467" t="s">
        <v>286</v>
      </c>
      <c r="F741" s="472"/>
      <c r="G741" s="470">
        <v>2</v>
      </c>
      <c r="H741" s="470">
        <v>2</v>
      </c>
      <c r="I741" s="470">
        <v>3</v>
      </c>
      <c r="J741" s="470">
        <v>3</v>
      </c>
    </row>
    <row r="742" spans="1:10">
      <c r="A742" s="96">
        <v>19</v>
      </c>
      <c r="B742" s="490" t="s">
        <v>1974</v>
      </c>
      <c r="C742" s="466" t="s">
        <v>1975</v>
      </c>
      <c r="D742" s="470">
        <f t="shared" si="24"/>
        <v>12</v>
      </c>
      <c r="E742" s="467" t="s">
        <v>286</v>
      </c>
      <c r="F742" s="472"/>
      <c r="G742" s="470">
        <v>6</v>
      </c>
      <c r="H742" s="470">
        <v>6</v>
      </c>
      <c r="I742" s="470">
        <v>0</v>
      </c>
      <c r="J742" s="470">
        <v>0</v>
      </c>
    </row>
    <row r="743" spans="1:10">
      <c r="A743" s="96">
        <v>20</v>
      </c>
      <c r="B743" s="490" t="s">
        <v>1976</v>
      </c>
      <c r="C743" s="466" t="s">
        <v>1977</v>
      </c>
      <c r="D743" s="470">
        <f t="shared" si="24"/>
        <v>20</v>
      </c>
      <c r="E743" s="467" t="s">
        <v>286</v>
      </c>
      <c r="F743" s="472"/>
      <c r="G743" s="470">
        <v>4</v>
      </c>
      <c r="H743" s="470">
        <v>4</v>
      </c>
      <c r="I743" s="470">
        <v>6</v>
      </c>
      <c r="J743" s="470">
        <v>6</v>
      </c>
    </row>
    <row r="744" spans="1:10">
      <c r="A744" s="96">
        <v>21</v>
      </c>
      <c r="B744" s="490" t="s">
        <v>1978</v>
      </c>
      <c r="C744" s="466" t="s">
        <v>1979</v>
      </c>
      <c r="D744" s="470">
        <f t="shared" si="24"/>
        <v>16</v>
      </c>
      <c r="E744" s="467" t="s">
        <v>286</v>
      </c>
      <c r="F744" s="472"/>
      <c r="G744" s="470">
        <v>4</v>
      </c>
      <c r="H744" s="470">
        <v>4</v>
      </c>
      <c r="I744" s="470">
        <v>6</v>
      </c>
      <c r="J744" s="470">
        <v>2</v>
      </c>
    </row>
    <row r="745" spans="1:10">
      <c r="A745" s="96">
        <v>22</v>
      </c>
      <c r="B745" s="490" t="s">
        <v>1980</v>
      </c>
      <c r="C745" s="466" t="s">
        <v>1243</v>
      </c>
      <c r="D745" s="470">
        <f t="shared" si="24"/>
        <v>40</v>
      </c>
      <c r="E745" s="467" t="s">
        <v>286</v>
      </c>
      <c r="F745" s="472"/>
      <c r="G745" s="470">
        <v>10</v>
      </c>
      <c r="H745" s="470">
        <v>10</v>
      </c>
      <c r="I745" s="470">
        <v>10</v>
      </c>
      <c r="J745" s="470">
        <v>10</v>
      </c>
    </row>
    <row r="746" spans="1:10">
      <c r="A746" s="96">
        <v>23</v>
      </c>
      <c r="B746" s="490" t="s">
        <v>1981</v>
      </c>
      <c r="C746" s="466" t="s">
        <v>1244</v>
      </c>
      <c r="D746" s="470">
        <f t="shared" si="24"/>
        <v>10</v>
      </c>
      <c r="E746" s="467" t="s">
        <v>286</v>
      </c>
      <c r="F746" s="472"/>
      <c r="G746" s="470">
        <v>2</v>
      </c>
      <c r="H746" s="470">
        <v>2</v>
      </c>
      <c r="I746" s="470">
        <v>3</v>
      </c>
      <c r="J746" s="470">
        <v>3</v>
      </c>
    </row>
    <row r="747" spans="1:10" ht="30">
      <c r="A747" s="96">
        <v>24</v>
      </c>
      <c r="B747" s="490" t="s">
        <v>1982</v>
      </c>
      <c r="C747" s="466" t="s">
        <v>1983</v>
      </c>
      <c r="D747" s="470">
        <f t="shared" si="24"/>
        <v>64</v>
      </c>
      <c r="E747" s="467" t="s">
        <v>286</v>
      </c>
      <c r="F747" s="472"/>
      <c r="G747" s="470">
        <v>12</v>
      </c>
      <c r="H747" s="470">
        <v>12</v>
      </c>
      <c r="I747" s="470">
        <v>18</v>
      </c>
      <c r="J747" s="470">
        <v>22</v>
      </c>
    </row>
    <row r="748" spans="1:10">
      <c r="A748" s="96">
        <v>25</v>
      </c>
      <c r="B748" s="490" t="s">
        <v>1984</v>
      </c>
      <c r="C748" s="466" t="s">
        <v>1985</v>
      </c>
      <c r="D748" s="470">
        <f t="shared" si="24"/>
        <v>20</v>
      </c>
      <c r="E748" s="467" t="s">
        <v>286</v>
      </c>
      <c r="F748" s="472"/>
      <c r="G748" s="470">
        <v>4</v>
      </c>
      <c r="H748" s="470">
        <v>4</v>
      </c>
      <c r="I748" s="470">
        <v>6</v>
      </c>
      <c r="J748" s="470">
        <v>6</v>
      </c>
    </row>
    <row r="749" spans="1:10">
      <c r="A749" s="96">
        <v>26</v>
      </c>
      <c r="B749" s="490" t="s">
        <v>1986</v>
      </c>
      <c r="C749" s="466" t="s">
        <v>1987</v>
      </c>
      <c r="D749" s="470">
        <f t="shared" si="24"/>
        <v>78</v>
      </c>
      <c r="E749" s="467" t="s">
        <v>286</v>
      </c>
      <c r="F749" s="472"/>
      <c r="G749" s="470">
        <v>15</v>
      </c>
      <c r="H749" s="470">
        <v>15</v>
      </c>
      <c r="I749" s="470">
        <v>28</v>
      </c>
      <c r="J749" s="470">
        <v>20</v>
      </c>
    </row>
    <row r="750" spans="1:10">
      <c r="A750" s="96">
        <v>27</v>
      </c>
      <c r="B750" s="490" t="s">
        <v>1988</v>
      </c>
      <c r="C750" s="466" t="s">
        <v>1989</v>
      </c>
      <c r="D750" s="470">
        <f t="shared" si="24"/>
        <v>16</v>
      </c>
      <c r="E750" s="467" t="s">
        <v>286</v>
      </c>
      <c r="F750" s="472"/>
      <c r="G750" s="470">
        <v>4</v>
      </c>
      <c r="H750" s="470">
        <v>4</v>
      </c>
      <c r="I750" s="470">
        <v>6</v>
      </c>
      <c r="J750" s="470">
        <v>2</v>
      </c>
    </row>
    <row r="751" spans="1:10" ht="18.75">
      <c r="A751" s="1030" t="s">
        <v>1303</v>
      </c>
      <c r="B751" s="1030"/>
      <c r="C751" s="1030"/>
      <c r="D751" s="1030"/>
      <c r="E751" s="1030"/>
      <c r="F751" s="1030"/>
      <c r="G751" s="1030"/>
      <c r="H751" s="1030"/>
      <c r="I751" s="1030"/>
      <c r="J751" s="1030"/>
    </row>
    <row r="752" spans="1:10">
      <c r="A752" s="96">
        <v>28</v>
      </c>
      <c r="B752" s="490" t="s">
        <v>1304</v>
      </c>
      <c r="C752" s="761">
        <v>63300166</v>
      </c>
      <c r="D752" s="470">
        <v>5</v>
      </c>
      <c r="E752" s="761" t="s">
        <v>1305</v>
      </c>
      <c r="F752" s="473"/>
      <c r="G752" s="470"/>
      <c r="H752" s="470">
        <v>2</v>
      </c>
      <c r="I752" s="470">
        <v>2</v>
      </c>
      <c r="J752" s="470">
        <v>1</v>
      </c>
    </row>
    <row r="753" spans="1:10">
      <c r="A753" s="96">
        <v>29</v>
      </c>
      <c r="B753" s="786" t="s">
        <v>1306</v>
      </c>
      <c r="C753" s="761">
        <v>63300197</v>
      </c>
      <c r="D753" s="470">
        <v>1</v>
      </c>
      <c r="E753" s="761" t="s">
        <v>1305</v>
      </c>
      <c r="F753" s="761" t="s">
        <v>1990</v>
      </c>
      <c r="G753" s="470"/>
      <c r="H753" s="470">
        <v>1</v>
      </c>
      <c r="I753" s="470"/>
      <c r="J753" s="470"/>
    </row>
    <row r="754" spans="1:10">
      <c r="A754" s="96">
        <v>30</v>
      </c>
      <c r="B754" s="786" t="s">
        <v>1307</v>
      </c>
      <c r="C754" s="761">
        <v>63300161</v>
      </c>
      <c r="D754" s="470">
        <v>1</v>
      </c>
      <c r="E754" s="761" t="s">
        <v>1305</v>
      </c>
      <c r="F754" s="473"/>
      <c r="G754" s="470"/>
      <c r="H754" s="470">
        <v>1</v>
      </c>
      <c r="I754" s="470"/>
      <c r="J754" s="470"/>
    </row>
    <row r="755" spans="1:10">
      <c r="A755" s="96">
        <v>31</v>
      </c>
      <c r="B755" s="490" t="s">
        <v>1308</v>
      </c>
      <c r="C755" s="761">
        <v>63300157</v>
      </c>
      <c r="D755" s="470">
        <v>7</v>
      </c>
      <c r="E755" s="761" t="s">
        <v>1305</v>
      </c>
      <c r="F755" s="761" t="s">
        <v>1991</v>
      </c>
      <c r="G755" s="470"/>
      <c r="H755" s="470">
        <v>3</v>
      </c>
      <c r="I755" s="470">
        <v>2</v>
      </c>
      <c r="J755" s="470">
        <v>2</v>
      </c>
    </row>
    <row r="756" spans="1:10">
      <c r="A756" s="96">
        <v>32</v>
      </c>
      <c r="B756" s="490" t="s">
        <v>1309</v>
      </c>
      <c r="C756" s="761">
        <v>63300158</v>
      </c>
      <c r="D756" s="470">
        <v>5</v>
      </c>
      <c r="E756" s="761" t="s">
        <v>1305</v>
      </c>
      <c r="F756" s="761" t="s">
        <v>1990</v>
      </c>
      <c r="G756" s="470"/>
      <c r="H756" s="470">
        <v>2</v>
      </c>
      <c r="I756" s="470">
        <v>2</v>
      </c>
      <c r="J756" s="470">
        <v>1</v>
      </c>
    </row>
    <row r="757" spans="1:10">
      <c r="A757" s="96">
        <v>33</v>
      </c>
      <c r="B757" s="490" t="s">
        <v>1310</v>
      </c>
      <c r="C757" s="761">
        <v>63300159</v>
      </c>
      <c r="D757" s="470">
        <v>5</v>
      </c>
      <c r="E757" s="761" t="s">
        <v>1305</v>
      </c>
      <c r="F757" s="761" t="s">
        <v>1991</v>
      </c>
      <c r="G757" s="470"/>
      <c r="H757" s="470">
        <v>2</v>
      </c>
      <c r="I757" s="470">
        <v>2</v>
      </c>
      <c r="J757" s="470">
        <v>1</v>
      </c>
    </row>
    <row r="758" spans="1:10">
      <c r="A758" s="96">
        <v>34</v>
      </c>
      <c r="B758" s="490" t="s">
        <v>1311</v>
      </c>
      <c r="C758" s="761">
        <v>63300236</v>
      </c>
      <c r="D758" s="470">
        <v>2</v>
      </c>
      <c r="E758" s="761" t="s">
        <v>1305</v>
      </c>
      <c r="F758" s="473"/>
      <c r="G758" s="470"/>
      <c r="H758" s="470">
        <v>1</v>
      </c>
      <c r="I758" s="470">
        <v>1</v>
      </c>
      <c r="J758" s="470"/>
    </row>
    <row r="759" spans="1:10">
      <c r="A759" s="96">
        <v>35</v>
      </c>
      <c r="B759" s="490" t="s">
        <v>1992</v>
      </c>
      <c r="C759" s="761">
        <v>64400176</v>
      </c>
      <c r="D759" s="470">
        <v>1</v>
      </c>
      <c r="E759" s="761" t="s">
        <v>1305</v>
      </c>
      <c r="F759" s="473"/>
      <c r="G759" s="470"/>
      <c r="H759" s="470">
        <v>1</v>
      </c>
      <c r="I759" s="470"/>
      <c r="J759" s="470"/>
    </row>
    <row r="760" spans="1:10">
      <c r="A760" s="96">
        <v>36</v>
      </c>
      <c r="B760" s="786" t="s">
        <v>1312</v>
      </c>
      <c r="C760" s="761">
        <v>64400175</v>
      </c>
      <c r="D760" s="470">
        <v>1</v>
      </c>
      <c r="E760" s="761" t="s">
        <v>1305</v>
      </c>
      <c r="F760" s="473"/>
      <c r="G760" s="470"/>
      <c r="H760" s="470">
        <v>1</v>
      </c>
      <c r="I760" s="470"/>
      <c r="J760" s="470"/>
    </row>
    <row r="761" spans="1:10">
      <c r="A761" s="96">
        <v>37</v>
      </c>
      <c r="B761" s="786" t="s">
        <v>1313</v>
      </c>
      <c r="C761" s="761">
        <v>64400149</v>
      </c>
      <c r="D761" s="470">
        <v>12</v>
      </c>
      <c r="E761" s="761" t="s">
        <v>1314</v>
      </c>
      <c r="F761" s="473"/>
      <c r="G761" s="470"/>
      <c r="H761" s="470">
        <v>12</v>
      </c>
      <c r="I761" s="470"/>
      <c r="J761" s="470"/>
    </row>
    <row r="762" spans="1:10">
      <c r="A762" s="96">
        <v>38</v>
      </c>
      <c r="B762" s="786" t="s">
        <v>1315</v>
      </c>
      <c r="C762" s="761">
        <v>63400379</v>
      </c>
      <c r="D762" s="470">
        <v>12</v>
      </c>
      <c r="E762" s="761" t="s">
        <v>1314</v>
      </c>
      <c r="F762" s="473"/>
      <c r="G762" s="470"/>
      <c r="H762" s="470">
        <v>12</v>
      </c>
      <c r="I762" s="470"/>
      <c r="J762" s="470"/>
    </row>
    <row r="763" spans="1:10">
      <c r="A763" s="96">
        <v>39</v>
      </c>
      <c r="B763" s="786" t="s">
        <v>1315</v>
      </c>
      <c r="C763" s="761">
        <v>63400344</v>
      </c>
      <c r="D763" s="470">
        <v>20</v>
      </c>
      <c r="E763" s="761" t="s">
        <v>1314</v>
      </c>
      <c r="F763" s="473"/>
      <c r="G763" s="470"/>
      <c r="H763" s="470">
        <v>20</v>
      </c>
      <c r="I763" s="470"/>
      <c r="J763" s="470"/>
    </row>
    <row r="764" spans="1:10">
      <c r="A764" s="96">
        <v>40</v>
      </c>
      <c r="B764" s="786" t="s">
        <v>1316</v>
      </c>
      <c r="C764" s="468">
        <v>63400345</v>
      </c>
      <c r="D764" s="470">
        <v>20</v>
      </c>
      <c r="E764" s="761" t="s">
        <v>1314</v>
      </c>
      <c r="F764" s="473"/>
      <c r="G764" s="470"/>
      <c r="H764" s="470">
        <v>20</v>
      </c>
      <c r="I764" s="470"/>
      <c r="J764" s="470"/>
    </row>
    <row r="765" spans="1:10">
      <c r="A765" s="96">
        <v>41</v>
      </c>
      <c r="B765" s="786" t="s">
        <v>1317</v>
      </c>
      <c r="C765" s="468">
        <v>63400346</v>
      </c>
      <c r="D765" s="470">
        <v>20</v>
      </c>
      <c r="E765" s="761" t="s">
        <v>1314</v>
      </c>
      <c r="F765" s="473"/>
      <c r="G765" s="470"/>
      <c r="H765" s="470">
        <v>20</v>
      </c>
      <c r="I765" s="470"/>
      <c r="J765" s="470"/>
    </row>
    <row r="766" spans="1:10">
      <c r="A766" s="96">
        <v>42</v>
      </c>
      <c r="B766" s="786" t="s">
        <v>1318</v>
      </c>
      <c r="C766" s="761">
        <v>63400343</v>
      </c>
      <c r="D766" s="470">
        <v>10</v>
      </c>
      <c r="E766" s="761" t="s">
        <v>1314</v>
      </c>
      <c r="F766" s="473"/>
      <c r="G766" s="470"/>
      <c r="H766" s="470"/>
      <c r="I766" s="470">
        <v>10</v>
      </c>
      <c r="J766" s="470"/>
    </row>
    <row r="767" spans="1:10">
      <c r="A767" s="96">
        <v>43</v>
      </c>
      <c r="B767" s="786" t="s">
        <v>1319</v>
      </c>
      <c r="C767" s="761">
        <v>63400293</v>
      </c>
      <c r="D767" s="470">
        <v>10</v>
      </c>
      <c r="E767" s="761" t="s">
        <v>1314</v>
      </c>
      <c r="F767" s="473"/>
      <c r="G767" s="470"/>
      <c r="H767" s="470"/>
      <c r="I767" s="470">
        <v>10</v>
      </c>
      <c r="J767" s="470"/>
    </row>
    <row r="768" spans="1:10">
      <c r="A768" s="96">
        <v>44</v>
      </c>
      <c r="B768" s="786" t="s">
        <v>1320</v>
      </c>
      <c r="C768" s="761">
        <v>64400109</v>
      </c>
      <c r="D768" s="470">
        <v>20</v>
      </c>
      <c r="E768" s="761" t="s">
        <v>1314</v>
      </c>
      <c r="F768" s="473"/>
      <c r="G768" s="470"/>
      <c r="H768" s="470">
        <v>10</v>
      </c>
      <c r="I768" s="470">
        <v>5</v>
      </c>
      <c r="J768" s="470">
        <v>5</v>
      </c>
    </row>
    <row r="769" spans="1:10">
      <c r="A769" s="96">
        <v>45</v>
      </c>
      <c r="B769" s="786" t="s">
        <v>1321</v>
      </c>
      <c r="C769" s="761">
        <v>64400115</v>
      </c>
      <c r="D769" s="470">
        <v>5</v>
      </c>
      <c r="E769" s="761" t="s">
        <v>1314</v>
      </c>
      <c r="F769" s="473"/>
      <c r="G769" s="470"/>
      <c r="H769" s="470">
        <v>3</v>
      </c>
      <c r="I769" s="470">
        <v>2</v>
      </c>
      <c r="J769" s="470"/>
    </row>
    <row r="770" spans="1:10">
      <c r="A770" s="96">
        <v>46</v>
      </c>
      <c r="B770" s="787" t="s">
        <v>1322</v>
      </c>
      <c r="C770" s="468">
        <v>80200109</v>
      </c>
      <c r="D770" s="470">
        <v>50</v>
      </c>
      <c r="E770" s="761" t="s">
        <v>1314</v>
      </c>
      <c r="F770" s="473"/>
      <c r="G770" s="470"/>
      <c r="H770" s="470">
        <v>50</v>
      </c>
      <c r="I770" s="470"/>
      <c r="J770" s="470"/>
    </row>
    <row r="771" spans="1:10">
      <c r="A771" s="96">
        <v>47</v>
      </c>
      <c r="B771" s="787" t="s">
        <v>1323</v>
      </c>
      <c r="C771" s="468">
        <v>64400120</v>
      </c>
      <c r="D771" s="470">
        <v>10</v>
      </c>
      <c r="E771" s="761" t="s">
        <v>1314</v>
      </c>
      <c r="F771" s="473"/>
      <c r="G771" s="470"/>
      <c r="H771" s="470">
        <v>5</v>
      </c>
      <c r="I771" s="470">
        <v>5</v>
      </c>
      <c r="J771" s="470"/>
    </row>
    <row r="772" spans="1:10">
      <c r="A772" s="96">
        <v>48</v>
      </c>
      <c r="B772" s="788" t="s">
        <v>923</v>
      </c>
      <c r="C772" s="465">
        <v>80200142</v>
      </c>
      <c r="D772" s="470">
        <v>600</v>
      </c>
      <c r="E772" s="761" t="s">
        <v>1314</v>
      </c>
      <c r="F772" s="473"/>
      <c r="G772" s="470"/>
      <c r="H772" s="470">
        <v>200</v>
      </c>
      <c r="I772" s="470">
        <v>200</v>
      </c>
      <c r="J772" s="470">
        <v>200</v>
      </c>
    </row>
    <row r="773" spans="1:10">
      <c r="A773" s="96">
        <v>49</v>
      </c>
      <c r="B773" s="786" t="s">
        <v>1324</v>
      </c>
      <c r="C773" s="761">
        <v>65500128</v>
      </c>
      <c r="D773" s="470">
        <v>1</v>
      </c>
      <c r="E773" s="761" t="s">
        <v>1314</v>
      </c>
      <c r="F773" s="473"/>
      <c r="G773" s="470"/>
      <c r="H773" s="470">
        <v>1</v>
      </c>
      <c r="I773" s="470"/>
      <c r="J773" s="470"/>
    </row>
    <row r="774" spans="1:10">
      <c r="A774" s="96">
        <v>50</v>
      </c>
      <c r="B774" s="786" t="s">
        <v>1993</v>
      </c>
      <c r="C774" s="761">
        <v>64500195</v>
      </c>
      <c r="D774" s="470">
        <v>1</v>
      </c>
      <c r="E774" s="761" t="s">
        <v>1314</v>
      </c>
      <c r="F774" s="473"/>
      <c r="G774" s="470"/>
      <c r="H774" s="470">
        <v>1</v>
      </c>
      <c r="I774" s="470"/>
      <c r="J774" s="470"/>
    </row>
    <row r="775" spans="1:10">
      <c r="A775" s="96">
        <v>51</v>
      </c>
      <c r="B775" s="786" t="s">
        <v>1325</v>
      </c>
      <c r="C775" s="761">
        <v>80801082</v>
      </c>
      <c r="D775" s="470">
        <v>2</v>
      </c>
      <c r="E775" s="761" t="s">
        <v>1314</v>
      </c>
      <c r="F775" s="761" t="s">
        <v>1994</v>
      </c>
      <c r="G775" s="470"/>
      <c r="H775" s="470">
        <v>1</v>
      </c>
      <c r="I775" s="470">
        <v>1</v>
      </c>
      <c r="J775" s="470"/>
    </row>
    <row r="776" spans="1:10">
      <c r="A776" s="96">
        <v>52</v>
      </c>
      <c r="B776" s="786" t="s">
        <v>1326</v>
      </c>
      <c r="C776" s="761">
        <v>63100123</v>
      </c>
      <c r="D776" s="470">
        <v>530</v>
      </c>
      <c r="E776" s="761" t="s">
        <v>1314</v>
      </c>
      <c r="F776" s="473"/>
      <c r="G776" s="470"/>
      <c r="H776" s="470">
        <v>320</v>
      </c>
      <c r="I776" s="470">
        <v>210</v>
      </c>
      <c r="J776" s="470"/>
    </row>
    <row r="777" spans="1:10">
      <c r="A777" s="96">
        <v>53</v>
      </c>
      <c r="B777" s="787" t="s">
        <v>1327</v>
      </c>
      <c r="C777" s="468">
        <v>63200218</v>
      </c>
      <c r="D777" s="470">
        <v>10</v>
      </c>
      <c r="E777" s="761" t="s">
        <v>1314</v>
      </c>
      <c r="F777" s="473"/>
      <c r="G777" s="470"/>
      <c r="H777" s="470">
        <v>2</v>
      </c>
      <c r="I777" s="470">
        <v>4</v>
      </c>
      <c r="J777" s="470">
        <v>4</v>
      </c>
    </row>
    <row r="778" spans="1:10">
      <c r="A778" s="96">
        <v>54</v>
      </c>
      <c r="B778" s="787" t="s">
        <v>1328</v>
      </c>
      <c r="C778" s="468">
        <v>63200125</v>
      </c>
      <c r="D778" s="470">
        <v>30</v>
      </c>
      <c r="E778" s="761" t="s">
        <v>1314</v>
      </c>
      <c r="F778" s="473"/>
      <c r="G778" s="470"/>
      <c r="H778" s="470">
        <v>10</v>
      </c>
      <c r="I778" s="470">
        <v>10</v>
      </c>
      <c r="J778" s="470">
        <v>10</v>
      </c>
    </row>
    <row r="779" spans="1:10">
      <c r="A779" s="96">
        <v>55</v>
      </c>
      <c r="B779" s="786" t="s">
        <v>1329</v>
      </c>
      <c r="C779" s="761">
        <v>63200133</v>
      </c>
      <c r="D779" s="470">
        <v>30</v>
      </c>
      <c r="E779" s="761" t="s">
        <v>1314</v>
      </c>
      <c r="F779" s="473"/>
      <c r="G779" s="470"/>
      <c r="H779" s="470">
        <v>10</v>
      </c>
      <c r="I779" s="470">
        <v>10</v>
      </c>
      <c r="J779" s="470">
        <v>10</v>
      </c>
    </row>
    <row r="780" spans="1:10">
      <c r="A780" s="96">
        <v>56</v>
      </c>
      <c r="B780" s="787" t="s">
        <v>1330</v>
      </c>
      <c r="C780" s="761">
        <v>63200167</v>
      </c>
      <c r="D780" s="470">
        <v>10</v>
      </c>
      <c r="E780" s="761" t="s">
        <v>1314</v>
      </c>
      <c r="F780" s="473"/>
      <c r="G780" s="470"/>
      <c r="H780" s="470">
        <v>5</v>
      </c>
      <c r="I780" s="470">
        <v>5</v>
      </c>
      <c r="J780" s="470"/>
    </row>
    <row r="781" spans="1:10">
      <c r="A781" s="96">
        <v>57</v>
      </c>
      <c r="B781" s="787" t="s">
        <v>1331</v>
      </c>
      <c r="C781" s="761">
        <v>63200168</v>
      </c>
      <c r="D781" s="470">
        <v>48</v>
      </c>
      <c r="E781" s="761" t="s">
        <v>1314</v>
      </c>
      <c r="F781" s="473"/>
      <c r="G781" s="470"/>
      <c r="H781" s="470">
        <v>16</v>
      </c>
      <c r="I781" s="470">
        <v>16</v>
      </c>
      <c r="J781" s="470">
        <v>16</v>
      </c>
    </row>
    <row r="782" spans="1:10">
      <c r="A782" s="96">
        <v>58</v>
      </c>
      <c r="B782" s="786" t="s">
        <v>1332</v>
      </c>
      <c r="C782" s="761">
        <v>63200123</v>
      </c>
      <c r="D782" s="470">
        <v>60</v>
      </c>
      <c r="E782" s="761" t="s">
        <v>1314</v>
      </c>
      <c r="F782" s="761" t="s">
        <v>1994</v>
      </c>
      <c r="G782" s="470"/>
      <c r="H782" s="470">
        <v>30</v>
      </c>
      <c r="I782" s="470">
        <v>15</v>
      </c>
      <c r="J782" s="470">
        <v>15</v>
      </c>
    </row>
    <row r="783" spans="1:10">
      <c r="A783" s="96">
        <v>59</v>
      </c>
      <c r="B783" s="786" t="s">
        <v>1333</v>
      </c>
      <c r="C783" s="761">
        <v>63200172</v>
      </c>
      <c r="D783" s="470">
        <v>8</v>
      </c>
      <c r="E783" s="761" t="s">
        <v>1314</v>
      </c>
      <c r="F783" s="473"/>
      <c r="G783" s="470"/>
      <c r="H783" s="470">
        <v>4</v>
      </c>
      <c r="I783" s="470">
        <v>2</v>
      </c>
      <c r="J783" s="470">
        <v>2</v>
      </c>
    </row>
    <row r="784" spans="1:10">
      <c r="A784" s="96">
        <v>60</v>
      </c>
      <c r="B784" s="786" t="s">
        <v>1334</v>
      </c>
      <c r="C784" s="761">
        <v>64000105</v>
      </c>
      <c r="D784" s="470">
        <v>100</v>
      </c>
      <c r="E784" s="761" t="s">
        <v>1314</v>
      </c>
      <c r="F784" s="473"/>
      <c r="G784" s="470"/>
      <c r="H784" s="470">
        <v>50</v>
      </c>
      <c r="I784" s="470">
        <v>50</v>
      </c>
      <c r="J784" s="470"/>
    </row>
    <row r="785" spans="1:10">
      <c r="A785" s="96">
        <v>61</v>
      </c>
      <c r="B785" s="787" t="s">
        <v>1335</v>
      </c>
      <c r="C785" s="468">
        <v>64000142</v>
      </c>
      <c r="D785" s="470">
        <v>120</v>
      </c>
      <c r="E785" s="761" t="s">
        <v>1314</v>
      </c>
      <c r="F785" s="473"/>
      <c r="G785" s="470"/>
      <c r="H785" s="470">
        <v>60</v>
      </c>
      <c r="I785" s="470">
        <v>30</v>
      </c>
      <c r="J785" s="470">
        <v>30</v>
      </c>
    </row>
    <row r="786" spans="1:10">
      <c r="A786" s="96">
        <v>62</v>
      </c>
      <c r="B786" s="789" t="s">
        <v>1336</v>
      </c>
      <c r="C786" s="468">
        <v>63200182</v>
      </c>
      <c r="D786" s="470">
        <v>20</v>
      </c>
      <c r="E786" s="761" t="s">
        <v>1314</v>
      </c>
      <c r="F786" s="761" t="s">
        <v>1994</v>
      </c>
      <c r="G786" s="470"/>
      <c r="H786" s="470">
        <v>10</v>
      </c>
      <c r="I786" s="470">
        <v>10</v>
      </c>
      <c r="J786" s="470"/>
    </row>
    <row r="787" spans="1:10">
      <c r="A787" s="96">
        <v>63</v>
      </c>
      <c r="B787" s="786" t="s">
        <v>1337</v>
      </c>
      <c r="C787" s="761">
        <v>63400125</v>
      </c>
      <c r="D787" s="470">
        <v>20</v>
      </c>
      <c r="E787" s="761" t="s">
        <v>1314</v>
      </c>
      <c r="F787" s="473" t="s">
        <v>1995</v>
      </c>
      <c r="G787" s="470"/>
      <c r="H787" s="470"/>
      <c r="I787" s="470">
        <v>10</v>
      </c>
      <c r="J787" s="470">
        <v>10</v>
      </c>
    </row>
    <row r="788" spans="1:10">
      <c r="A788" s="96">
        <v>64</v>
      </c>
      <c r="B788" s="786" t="s">
        <v>1339</v>
      </c>
      <c r="C788" s="465">
        <v>64400165</v>
      </c>
      <c r="D788" s="470">
        <v>1</v>
      </c>
      <c r="E788" s="761" t="s">
        <v>1314</v>
      </c>
      <c r="F788" s="473"/>
      <c r="G788" s="470"/>
      <c r="H788" s="470"/>
      <c r="I788" s="470">
        <v>1</v>
      </c>
      <c r="J788" s="470"/>
    </row>
    <row r="789" spans="1:10">
      <c r="A789" s="96">
        <v>65</v>
      </c>
      <c r="B789" s="786" t="s">
        <v>1340</v>
      </c>
      <c r="C789" s="465">
        <v>65500130</v>
      </c>
      <c r="D789" s="470">
        <v>1</v>
      </c>
      <c r="E789" s="761" t="s">
        <v>1314</v>
      </c>
      <c r="F789" s="473"/>
      <c r="G789" s="470"/>
      <c r="H789" s="470">
        <v>1</v>
      </c>
      <c r="I789" s="470"/>
      <c r="J789" s="470"/>
    </row>
    <row r="790" spans="1:10">
      <c r="A790" s="96">
        <v>66</v>
      </c>
      <c r="B790" s="786" t="s">
        <v>1341</v>
      </c>
      <c r="C790" s="465">
        <v>63400330</v>
      </c>
      <c r="D790" s="470">
        <v>2</v>
      </c>
      <c r="E790" s="761" t="s">
        <v>1314</v>
      </c>
      <c r="F790" s="473"/>
      <c r="G790" s="470"/>
      <c r="H790" s="470">
        <v>1</v>
      </c>
      <c r="I790" s="470">
        <v>1</v>
      </c>
      <c r="J790" s="470"/>
    </row>
    <row r="791" spans="1:10">
      <c r="A791" s="96">
        <v>67</v>
      </c>
      <c r="B791" s="786" t="s">
        <v>1342</v>
      </c>
      <c r="C791" s="465">
        <v>63400328</v>
      </c>
      <c r="D791" s="470">
        <v>2</v>
      </c>
      <c r="E791" s="761" t="s">
        <v>1314</v>
      </c>
      <c r="F791" s="473"/>
      <c r="G791" s="470"/>
      <c r="H791" s="470">
        <v>2</v>
      </c>
      <c r="I791" s="470"/>
      <c r="J791" s="470"/>
    </row>
    <row r="792" spans="1:10">
      <c r="A792" s="96">
        <v>68</v>
      </c>
      <c r="B792" s="786" t="s">
        <v>1343</v>
      </c>
      <c r="C792" s="465">
        <v>65500129</v>
      </c>
      <c r="D792" s="470">
        <v>1</v>
      </c>
      <c r="E792" s="761" t="s">
        <v>1314</v>
      </c>
      <c r="F792" s="473"/>
      <c r="G792" s="470"/>
      <c r="H792" s="470">
        <v>1</v>
      </c>
      <c r="I792" s="470"/>
      <c r="J792" s="470"/>
    </row>
    <row r="793" spans="1:10">
      <c r="A793" s="96">
        <v>69</v>
      </c>
      <c r="B793" s="786" t="s">
        <v>1344</v>
      </c>
      <c r="C793" s="465">
        <v>63400329</v>
      </c>
      <c r="D793" s="470">
        <v>2</v>
      </c>
      <c r="E793" s="761" t="s">
        <v>1314</v>
      </c>
      <c r="F793" s="473"/>
      <c r="G793" s="470"/>
      <c r="H793" s="470">
        <v>2</v>
      </c>
      <c r="I793" s="470"/>
      <c r="J793" s="470"/>
    </row>
    <row r="794" spans="1:10">
      <c r="A794" s="96">
        <v>70</v>
      </c>
      <c r="B794" s="786" t="s">
        <v>1345</v>
      </c>
      <c r="C794" s="465">
        <v>65500127</v>
      </c>
      <c r="D794" s="470">
        <v>1</v>
      </c>
      <c r="E794" s="761" t="s">
        <v>1314</v>
      </c>
      <c r="F794" s="761" t="s">
        <v>1994</v>
      </c>
      <c r="G794" s="470"/>
      <c r="H794" s="470">
        <v>1</v>
      </c>
      <c r="I794" s="470"/>
      <c r="J794" s="470"/>
    </row>
    <row r="795" spans="1:10">
      <c r="A795" s="96">
        <v>71</v>
      </c>
      <c r="B795" s="786" t="s">
        <v>1346</v>
      </c>
      <c r="C795" s="465">
        <v>63400376</v>
      </c>
      <c r="D795" s="470">
        <v>5</v>
      </c>
      <c r="E795" s="761" t="s">
        <v>1314</v>
      </c>
      <c r="F795" s="761" t="s">
        <v>1994</v>
      </c>
      <c r="G795" s="470"/>
      <c r="H795" s="470">
        <v>2</v>
      </c>
      <c r="I795" s="470">
        <v>2</v>
      </c>
      <c r="J795" s="470">
        <v>1</v>
      </c>
    </row>
    <row r="796" spans="1:10">
      <c r="A796" s="96">
        <v>72</v>
      </c>
      <c r="B796" s="786" t="s">
        <v>1347</v>
      </c>
      <c r="C796" s="465">
        <v>65300119</v>
      </c>
      <c r="D796" s="470">
        <v>1</v>
      </c>
      <c r="E796" s="761" t="s">
        <v>1314</v>
      </c>
      <c r="F796" s="473"/>
      <c r="G796" s="470"/>
      <c r="H796" s="470">
        <v>1</v>
      </c>
      <c r="I796" s="470"/>
      <c r="J796" s="470"/>
    </row>
    <row r="797" spans="1:10">
      <c r="A797" s="96">
        <v>73</v>
      </c>
      <c r="B797" s="786" t="s">
        <v>1348</v>
      </c>
      <c r="C797" s="465">
        <v>65300122</v>
      </c>
      <c r="D797" s="470">
        <v>1</v>
      </c>
      <c r="E797" s="761" t="s">
        <v>1314</v>
      </c>
      <c r="F797" s="473"/>
      <c r="G797" s="470"/>
      <c r="H797" s="470">
        <v>1</v>
      </c>
      <c r="I797" s="470"/>
      <c r="J797" s="470"/>
    </row>
    <row r="798" spans="1:10">
      <c r="A798" s="96">
        <v>74</v>
      </c>
      <c r="B798" s="786" t="s">
        <v>1349</v>
      </c>
      <c r="C798" s="465">
        <v>65300118</v>
      </c>
      <c r="D798" s="470">
        <v>1</v>
      </c>
      <c r="E798" s="761" t="s">
        <v>1314</v>
      </c>
      <c r="F798" s="473"/>
      <c r="G798" s="470"/>
      <c r="H798" s="470">
        <v>1</v>
      </c>
      <c r="I798" s="470"/>
      <c r="J798" s="470"/>
    </row>
    <row r="799" spans="1:10">
      <c r="A799" s="96">
        <v>75</v>
      </c>
      <c r="B799" s="786" t="s">
        <v>1349</v>
      </c>
      <c r="C799" s="465">
        <v>65300111</v>
      </c>
      <c r="D799" s="470">
        <v>1</v>
      </c>
      <c r="E799" s="761" t="s">
        <v>1314</v>
      </c>
      <c r="F799" s="473"/>
      <c r="G799" s="470"/>
      <c r="H799" s="470">
        <v>1</v>
      </c>
      <c r="I799" s="470"/>
      <c r="J799" s="470"/>
    </row>
    <row r="800" spans="1:10">
      <c r="A800" s="96">
        <v>76</v>
      </c>
      <c r="B800" s="786" t="s">
        <v>1349</v>
      </c>
      <c r="C800" s="465">
        <v>65300110</v>
      </c>
      <c r="D800" s="470">
        <v>1</v>
      </c>
      <c r="E800" s="761" t="s">
        <v>1314</v>
      </c>
      <c r="F800" s="473"/>
      <c r="G800" s="470"/>
      <c r="H800" s="470">
        <v>1</v>
      </c>
      <c r="I800" s="470"/>
      <c r="J800" s="470"/>
    </row>
    <row r="801" spans="1:10">
      <c r="A801" s="96">
        <v>77</v>
      </c>
      <c r="B801" s="786" t="s">
        <v>1350</v>
      </c>
      <c r="C801" s="465">
        <v>65300112</v>
      </c>
      <c r="D801" s="470">
        <v>1</v>
      </c>
      <c r="E801" s="761" t="s">
        <v>1314</v>
      </c>
      <c r="F801" s="473"/>
      <c r="G801" s="470"/>
      <c r="H801" s="470">
        <v>1</v>
      </c>
      <c r="I801" s="470"/>
      <c r="J801" s="470"/>
    </row>
    <row r="802" spans="1:10">
      <c r="A802" s="96">
        <v>78</v>
      </c>
      <c r="B802" s="786" t="s">
        <v>1351</v>
      </c>
      <c r="C802" s="465">
        <v>65300115</v>
      </c>
      <c r="D802" s="470">
        <v>1</v>
      </c>
      <c r="E802" s="761" t="s">
        <v>1314</v>
      </c>
      <c r="F802" s="473"/>
      <c r="G802" s="470"/>
      <c r="H802" s="470">
        <v>1</v>
      </c>
      <c r="I802" s="470"/>
      <c r="J802" s="470"/>
    </row>
    <row r="803" spans="1:10">
      <c r="A803" s="96">
        <v>79</v>
      </c>
      <c r="B803" s="786" t="s">
        <v>1351</v>
      </c>
      <c r="C803" s="465">
        <v>65300114</v>
      </c>
      <c r="D803" s="470">
        <v>1</v>
      </c>
      <c r="E803" s="761" t="s">
        <v>1314</v>
      </c>
      <c r="F803" s="473"/>
      <c r="G803" s="470"/>
      <c r="H803" s="470">
        <v>1</v>
      </c>
      <c r="I803" s="470"/>
      <c r="J803" s="470"/>
    </row>
    <row r="804" spans="1:10">
      <c r="A804" s="96">
        <v>80</v>
      </c>
      <c r="B804" s="786" t="s">
        <v>1351</v>
      </c>
      <c r="C804" s="465">
        <v>65300113</v>
      </c>
      <c r="D804" s="470">
        <v>1</v>
      </c>
      <c r="E804" s="761" t="s">
        <v>1314</v>
      </c>
      <c r="F804" s="473"/>
      <c r="G804" s="470"/>
      <c r="H804" s="470">
        <v>1</v>
      </c>
      <c r="I804" s="470"/>
      <c r="J804" s="470"/>
    </row>
    <row r="805" spans="1:10">
      <c r="A805" s="96">
        <v>81</v>
      </c>
      <c r="B805" s="786" t="s">
        <v>1352</v>
      </c>
      <c r="C805" s="465">
        <v>65300103</v>
      </c>
      <c r="D805" s="470">
        <v>1</v>
      </c>
      <c r="E805" s="761" t="s">
        <v>1314</v>
      </c>
      <c r="F805" s="473"/>
      <c r="G805" s="470"/>
      <c r="H805" s="470">
        <v>1</v>
      </c>
      <c r="I805" s="470"/>
      <c r="J805" s="470"/>
    </row>
    <row r="806" spans="1:10">
      <c r="A806" s="96">
        <v>82</v>
      </c>
      <c r="B806" s="786" t="s">
        <v>927</v>
      </c>
      <c r="C806" s="465">
        <v>63200132</v>
      </c>
      <c r="D806" s="470">
        <v>2</v>
      </c>
      <c r="E806" s="761" t="s">
        <v>1314</v>
      </c>
      <c r="F806" s="473"/>
      <c r="G806" s="470"/>
      <c r="H806" s="470">
        <v>2</v>
      </c>
      <c r="I806" s="470"/>
      <c r="J806" s="470"/>
    </row>
    <row r="807" spans="1:10">
      <c r="A807" s="96">
        <v>83</v>
      </c>
      <c r="B807" s="786" t="s">
        <v>927</v>
      </c>
      <c r="C807" s="465">
        <v>63200130</v>
      </c>
      <c r="D807" s="470">
        <v>2</v>
      </c>
      <c r="E807" s="761" t="s">
        <v>1314</v>
      </c>
      <c r="F807" s="473"/>
      <c r="G807" s="470"/>
      <c r="H807" s="470">
        <v>2</v>
      </c>
      <c r="I807" s="470"/>
      <c r="J807" s="470"/>
    </row>
    <row r="808" spans="1:10">
      <c r="A808" s="96">
        <v>84</v>
      </c>
      <c r="B808" s="786" t="s">
        <v>927</v>
      </c>
      <c r="C808" s="465">
        <v>63200131</v>
      </c>
      <c r="D808" s="470">
        <v>2</v>
      </c>
      <c r="E808" s="761" t="s">
        <v>1314</v>
      </c>
      <c r="F808" s="473"/>
      <c r="G808" s="470"/>
      <c r="H808" s="470">
        <v>2</v>
      </c>
      <c r="I808" s="470"/>
      <c r="J808" s="470"/>
    </row>
    <row r="809" spans="1:10">
      <c r="A809" s="96">
        <v>85</v>
      </c>
      <c r="B809" s="786" t="s">
        <v>927</v>
      </c>
      <c r="C809" s="465">
        <v>63200129</v>
      </c>
      <c r="D809" s="470">
        <v>2</v>
      </c>
      <c r="E809" s="761" t="s">
        <v>1314</v>
      </c>
      <c r="F809" s="473"/>
      <c r="G809" s="470"/>
      <c r="H809" s="470">
        <v>2</v>
      </c>
      <c r="I809" s="470"/>
      <c r="J809" s="470"/>
    </row>
    <row r="810" spans="1:10">
      <c r="A810" s="96">
        <v>86</v>
      </c>
      <c r="B810" s="786" t="s">
        <v>1353</v>
      </c>
      <c r="C810" s="761">
        <v>63400110</v>
      </c>
      <c r="D810" s="470">
        <v>60</v>
      </c>
      <c r="E810" s="761" t="s">
        <v>1314</v>
      </c>
      <c r="F810" s="473"/>
      <c r="G810" s="470"/>
      <c r="H810" s="470">
        <v>20</v>
      </c>
      <c r="I810" s="470">
        <v>20</v>
      </c>
      <c r="J810" s="470">
        <v>20</v>
      </c>
    </row>
    <row r="811" spans="1:10">
      <c r="A811" s="96">
        <v>87</v>
      </c>
      <c r="B811" s="786" t="s">
        <v>1354</v>
      </c>
      <c r="C811" s="465">
        <v>63200162</v>
      </c>
      <c r="D811" s="470">
        <v>60</v>
      </c>
      <c r="E811" s="761" t="s">
        <v>1314</v>
      </c>
      <c r="F811" s="473"/>
      <c r="G811" s="470"/>
      <c r="H811" s="470">
        <v>20</v>
      </c>
      <c r="I811" s="470">
        <v>20</v>
      </c>
      <c r="J811" s="470">
        <v>20</v>
      </c>
    </row>
    <row r="812" spans="1:10">
      <c r="A812" s="96">
        <v>88</v>
      </c>
      <c r="B812" s="786" t="s">
        <v>1356</v>
      </c>
      <c r="C812" s="465">
        <v>64500110</v>
      </c>
      <c r="D812" s="470">
        <v>2</v>
      </c>
      <c r="E812" s="761" t="s">
        <v>1314</v>
      </c>
      <c r="F812" s="761" t="s">
        <v>1994</v>
      </c>
      <c r="G812" s="470"/>
      <c r="H812" s="470">
        <v>2</v>
      </c>
      <c r="I812" s="470"/>
      <c r="J812" s="470"/>
    </row>
    <row r="813" spans="1:10">
      <c r="A813" s="96">
        <v>89</v>
      </c>
      <c r="B813" s="786" t="s">
        <v>1357</v>
      </c>
      <c r="C813" s="465">
        <v>64500111</v>
      </c>
      <c r="D813" s="470">
        <v>4</v>
      </c>
      <c r="E813" s="761" t="s">
        <v>1314</v>
      </c>
      <c r="F813" s="473"/>
      <c r="G813" s="470"/>
      <c r="H813" s="470">
        <v>2</v>
      </c>
      <c r="I813" s="470">
        <v>2</v>
      </c>
      <c r="J813" s="470"/>
    </row>
    <row r="814" spans="1:10">
      <c r="A814" s="96">
        <v>90</v>
      </c>
      <c r="B814" s="786" t="s">
        <v>1354</v>
      </c>
      <c r="C814" s="465">
        <v>63200163</v>
      </c>
      <c r="D814" s="470">
        <v>5</v>
      </c>
      <c r="E814" s="761" t="s">
        <v>1314</v>
      </c>
      <c r="F814" s="473"/>
      <c r="G814" s="470"/>
      <c r="H814" s="470"/>
      <c r="I814" s="470">
        <v>5</v>
      </c>
      <c r="J814" s="470"/>
    </row>
    <row r="815" spans="1:10">
      <c r="A815" s="96">
        <v>91</v>
      </c>
      <c r="B815" s="786" t="s">
        <v>1358</v>
      </c>
      <c r="C815" s="465">
        <v>63400108</v>
      </c>
      <c r="D815" s="470">
        <v>5</v>
      </c>
      <c r="E815" s="761" t="s">
        <v>1314</v>
      </c>
      <c r="F815" s="473"/>
      <c r="G815" s="470"/>
      <c r="H815" s="470"/>
      <c r="I815" s="470">
        <v>5</v>
      </c>
      <c r="J815" s="470"/>
    </row>
    <row r="816" spans="1:10">
      <c r="A816" s="96">
        <v>92</v>
      </c>
      <c r="B816" s="786" t="s">
        <v>1359</v>
      </c>
      <c r="C816" s="465">
        <v>63400324</v>
      </c>
      <c r="D816" s="470">
        <v>5</v>
      </c>
      <c r="E816" s="761" t="s">
        <v>1314</v>
      </c>
      <c r="F816" s="473"/>
      <c r="G816" s="470"/>
      <c r="H816" s="470"/>
      <c r="I816" s="470">
        <v>5</v>
      </c>
      <c r="J816" s="470"/>
    </row>
    <row r="817" spans="1:10">
      <c r="A817" s="96">
        <v>93</v>
      </c>
      <c r="B817" s="786" t="s">
        <v>1360</v>
      </c>
      <c r="C817" s="465">
        <v>63400255</v>
      </c>
      <c r="D817" s="470">
        <v>60</v>
      </c>
      <c r="E817" s="761" t="s">
        <v>1314</v>
      </c>
      <c r="F817" s="761" t="s">
        <v>1996</v>
      </c>
      <c r="G817" s="470"/>
      <c r="H817" s="470">
        <v>20</v>
      </c>
      <c r="I817" s="470">
        <v>20</v>
      </c>
      <c r="J817" s="470">
        <v>20</v>
      </c>
    </row>
    <row r="818" spans="1:10">
      <c r="A818" s="96">
        <v>94</v>
      </c>
      <c r="B818" s="786" t="s">
        <v>1361</v>
      </c>
      <c r="C818" s="465">
        <v>80200112</v>
      </c>
      <c r="D818" s="470">
        <v>300</v>
      </c>
      <c r="E818" s="761" t="s">
        <v>1314</v>
      </c>
      <c r="F818" s="473"/>
      <c r="G818" s="470"/>
      <c r="H818" s="470">
        <v>100</v>
      </c>
      <c r="I818" s="470">
        <v>100</v>
      </c>
      <c r="J818" s="470">
        <v>100</v>
      </c>
    </row>
    <row r="819" spans="1:10">
      <c r="A819" s="96">
        <v>95</v>
      </c>
      <c r="B819" s="786" t="s">
        <v>1362</v>
      </c>
      <c r="C819" s="465">
        <v>80200133</v>
      </c>
      <c r="D819" s="470">
        <v>300</v>
      </c>
      <c r="E819" s="761" t="s">
        <v>1314</v>
      </c>
      <c r="F819" s="473"/>
      <c r="G819" s="470"/>
      <c r="H819" s="470">
        <v>100</v>
      </c>
      <c r="I819" s="470">
        <v>100</v>
      </c>
      <c r="J819" s="470">
        <v>100</v>
      </c>
    </row>
    <row r="820" spans="1:10">
      <c r="A820" s="96">
        <v>96</v>
      </c>
      <c r="B820" s="786" t="s">
        <v>1363</v>
      </c>
      <c r="C820" s="465">
        <v>63500206</v>
      </c>
      <c r="D820" s="470">
        <v>2</v>
      </c>
      <c r="E820" s="761" t="s">
        <v>1314</v>
      </c>
      <c r="F820" s="473"/>
      <c r="G820" s="470"/>
      <c r="H820" s="470">
        <v>2</v>
      </c>
      <c r="I820" s="470"/>
      <c r="J820" s="470"/>
    </row>
    <row r="821" spans="1:10">
      <c r="A821" s="96">
        <v>97</v>
      </c>
      <c r="B821" s="786" t="s">
        <v>1364</v>
      </c>
      <c r="C821" s="477">
        <v>63500207</v>
      </c>
      <c r="D821" s="470">
        <v>40</v>
      </c>
      <c r="E821" s="761" t="s">
        <v>1314</v>
      </c>
      <c r="F821" s="761" t="s">
        <v>1994</v>
      </c>
      <c r="G821" s="470"/>
      <c r="H821" s="470">
        <v>20</v>
      </c>
      <c r="I821" s="470">
        <v>20</v>
      </c>
      <c r="J821" s="470"/>
    </row>
    <row r="822" spans="1:10">
      <c r="A822" s="96">
        <v>98</v>
      </c>
      <c r="B822" s="786" t="s">
        <v>1365</v>
      </c>
      <c r="C822" s="477">
        <v>63500208</v>
      </c>
      <c r="D822" s="470">
        <v>40</v>
      </c>
      <c r="E822" s="761" t="s">
        <v>1314</v>
      </c>
      <c r="F822" s="761" t="s">
        <v>1994</v>
      </c>
      <c r="G822" s="470"/>
      <c r="H822" s="470">
        <v>20</v>
      </c>
      <c r="I822" s="470">
        <v>20</v>
      </c>
      <c r="J822" s="470"/>
    </row>
    <row r="823" spans="1:10">
      <c r="A823" s="96">
        <v>99</v>
      </c>
      <c r="B823" s="786" t="s">
        <v>1366</v>
      </c>
      <c r="C823" s="477">
        <v>63500209</v>
      </c>
      <c r="D823" s="470">
        <v>15</v>
      </c>
      <c r="E823" s="761" t="s">
        <v>1314</v>
      </c>
      <c r="F823" s="761" t="s">
        <v>1994</v>
      </c>
      <c r="G823" s="470"/>
      <c r="H823" s="470">
        <v>5</v>
      </c>
      <c r="I823" s="470">
        <v>5</v>
      </c>
      <c r="J823" s="470">
        <v>5</v>
      </c>
    </row>
    <row r="824" spans="1:10">
      <c r="A824" s="96">
        <v>100</v>
      </c>
      <c r="B824" s="786" t="s">
        <v>1367</v>
      </c>
      <c r="C824" s="465">
        <v>63100125</v>
      </c>
      <c r="D824" s="470">
        <v>20</v>
      </c>
      <c r="E824" s="761" t="s">
        <v>1314</v>
      </c>
      <c r="F824" s="761" t="s">
        <v>1994</v>
      </c>
      <c r="G824" s="470"/>
      <c r="H824" s="470">
        <v>10</v>
      </c>
      <c r="I824" s="470">
        <v>10</v>
      </c>
      <c r="J824" s="470"/>
    </row>
    <row r="825" spans="1:10">
      <c r="A825" s="96">
        <v>101</v>
      </c>
      <c r="B825" s="786" t="s">
        <v>1368</v>
      </c>
      <c r="C825" s="465">
        <v>63100126</v>
      </c>
      <c r="D825" s="470">
        <v>20</v>
      </c>
      <c r="E825" s="761" t="s">
        <v>1314</v>
      </c>
      <c r="F825" s="761" t="s">
        <v>1994</v>
      </c>
      <c r="G825" s="470"/>
      <c r="H825" s="470">
        <v>10</v>
      </c>
      <c r="I825" s="470">
        <v>10</v>
      </c>
      <c r="J825" s="470"/>
    </row>
    <row r="826" spans="1:10">
      <c r="A826" s="96">
        <v>102</v>
      </c>
      <c r="B826" s="786" t="s">
        <v>1369</v>
      </c>
      <c r="C826" s="465">
        <v>63100127</v>
      </c>
      <c r="D826" s="470">
        <v>10</v>
      </c>
      <c r="E826" s="761" t="s">
        <v>1314</v>
      </c>
      <c r="F826" s="761" t="s">
        <v>1994</v>
      </c>
      <c r="G826" s="470"/>
      <c r="H826" s="470">
        <v>10</v>
      </c>
      <c r="I826" s="470"/>
      <c r="J826" s="470"/>
    </row>
    <row r="827" spans="1:10">
      <c r="A827" s="96">
        <v>103</v>
      </c>
      <c r="B827" s="786" t="s">
        <v>1370</v>
      </c>
      <c r="C827" s="465">
        <v>63500236</v>
      </c>
      <c r="D827" s="470">
        <v>2</v>
      </c>
      <c r="E827" s="761" t="s">
        <v>1314</v>
      </c>
      <c r="F827" s="761"/>
      <c r="G827" s="470"/>
      <c r="H827" s="470">
        <v>2</v>
      </c>
      <c r="I827" s="470"/>
      <c r="J827" s="470"/>
    </row>
    <row r="828" spans="1:10">
      <c r="A828" s="96">
        <v>104</v>
      </c>
      <c r="B828" s="786" t="s">
        <v>1371</v>
      </c>
      <c r="C828" s="465">
        <v>63500237</v>
      </c>
      <c r="D828" s="470">
        <v>2</v>
      </c>
      <c r="E828" s="761" t="s">
        <v>1314</v>
      </c>
      <c r="F828" s="761"/>
      <c r="G828" s="470"/>
      <c r="H828" s="470">
        <v>2</v>
      </c>
      <c r="I828" s="470"/>
      <c r="J828" s="470"/>
    </row>
    <row r="829" spans="1:10">
      <c r="A829" s="96">
        <v>105</v>
      </c>
      <c r="B829" s="786" t="s">
        <v>1372</v>
      </c>
      <c r="C829" s="465">
        <v>63400331</v>
      </c>
      <c r="D829" s="470">
        <v>2</v>
      </c>
      <c r="E829" s="761" t="s">
        <v>1314</v>
      </c>
      <c r="F829" s="473"/>
      <c r="G829" s="470"/>
      <c r="H829" s="470">
        <v>2</v>
      </c>
      <c r="I829" s="470"/>
      <c r="J829" s="470"/>
    </row>
    <row r="830" spans="1:10">
      <c r="A830" s="96">
        <v>106</v>
      </c>
      <c r="B830" s="786" t="s">
        <v>1373</v>
      </c>
      <c r="C830" s="465">
        <v>63500326</v>
      </c>
      <c r="D830" s="470">
        <v>4</v>
      </c>
      <c r="E830" s="761" t="s">
        <v>1314</v>
      </c>
      <c r="F830" s="473"/>
      <c r="G830" s="470"/>
      <c r="H830" s="470">
        <v>4</v>
      </c>
      <c r="I830" s="470"/>
      <c r="J830" s="470"/>
    </row>
    <row r="831" spans="1:10">
      <c r="A831" s="96">
        <v>107</v>
      </c>
      <c r="B831" s="786" t="s">
        <v>1374</v>
      </c>
      <c r="C831" s="465">
        <v>63500305</v>
      </c>
      <c r="D831" s="470">
        <v>30</v>
      </c>
      <c r="E831" s="761" t="s">
        <v>1314</v>
      </c>
      <c r="F831" s="473"/>
      <c r="G831" s="470"/>
      <c r="H831" s="470">
        <v>15</v>
      </c>
      <c r="I831" s="470">
        <v>15</v>
      </c>
      <c r="J831" s="470"/>
    </row>
    <row r="832" spans="1:10">
      <c r="A832" s="96">
        <v>108</v>
      </c>
      <c r="B832" s="786" t="s">
        <v>1375</v>
      </c>
      <c r="C832" s="465">
        <v>63500306</v>
      </c>
      <c r="D832" s="470">
        <v>30</v>
      </c>
      <c r="E832" s="761" t="s">
        <v>1314</v>
      </c>
      <c r="F832" s="473"/>
      <c r="G832" s="470"/>
      <c r="H832" s="470">
        <v>15</v>
      </c>
      <c r="I832" s="470">
        <v>15</v>
      </c>
      <c r="J832" s="470"/>
    </row>
    <row r="833" spans="1:10">
      <c r="A833" s="96">
        <v>109</v>
      </c>
      <c r="B833" s="786" t="s">
        <v>1376</v>
      </c>
      <c r="C833" s="465">
        <v>63500221</v>
      </c>
      <c r="D833" s="470">
        <v>2</v>
      </c>
      <c r="E833" s="761" t="s">
        <v>1314</v>
      </c>
      <c r="F833" s="473"/>
      <c r="G833" s="470"/>
      <c r="H833" s="470">
        <v>2</v>
      </c>
      <c r="I833" s="470"/>
      <c r="J833" s="470"/>
    </row>
    <row r="834" spans="1:10">
      <c r="A834" s="96">
        <v>110</v>
      </c>
      <c r="B834" s="786" t="s">
        <v>1377</v>
      </c>
      <c r="C834" s="477">
        <v>63500222</v>
      </c>
      <c r="D834" s="470">
        <v>15</v>
      </c>
      <c r="E834" s="761" t="s">
        <v>1314</v>
      </c>
      <c r="F834" s="473"/>
      <c r="G834" s="470"/>
      <c r="H834" s="470">
        <v>5</v>
      </c>
      <c r="I834" s="470">
        <v>5</v>
      </c>
      <c r="J834" s="470">
        <v>5</v>
      </c>
    </row>
    <row r="835" spans="1:10">
      <c r="A835" s="96">
        <v>111</v>
      </c>
      <c r="B835" s="786" t="s">
        <v>1378</v>
      </c>
      <c r="C835" s="477">
        <v>63500223</v>
      </c>
      <c r="D835" s="470">
        <v>15</v>
      </c>
      <c r="E835" s="761" t="s">
        <v>1314</v>
      </c>
      <c r="F835" s="473"/>
      <c r="G835" s="470"/>
      <c r="H835" s="470">
        <v>5</v>
      </c>
      <c r="I835" s="470">
        <v>5</v>
      </c>
      <c r="J835" s="470">
        <v>5</v>
      </c>
    </row>
    <row r="836" spans="1:10">
      <c r="A836" s="96">
        <v>112</v>
      </c>
      <c r="B836" s="786" t="s">
        <v>1379</v>
      </c>
      <c r="C836" s="465">
        <v>64400141</v>
      </c>
      <c r="D836" s="470">
        <v>20</v>
      </c>
      <c r="E836" s="761" t="s">
        <v>1314</v>
      </c>
      <c r="F836" s="473"/>
      <c r="G836" s="470"/>
      <c r="H836" s="470">
        <v>10</v>
      </c>
      <c r="I836" s="470">
        <v>10</v>
      </c>
      <c r="J836" s="470"/>
    </row>
    <row r="837" spans="1:10">
      <c r="A837" s="96">
        <v>113</v>
      </c>
      <c r="B837" s="786" t="s">
        <v>1380</v>
      </c>
      <c r="C837" s="477">
        <v>63500332</v>
      </c>
      <c r="D837" s="470">
        <v>15</v>
      </c>
      <c r="E837" s="761" t="s">
        <v>1314</v>
      </c>
      <c r="F837" s="473"/>
      <c r="G837" s="470"/>
      <c r="H837" s="470">
        <v>5</v>
      </c>
      <c r="I837" s="470">
        <v>5</v>
      </c>
      <c r="J837" s="470">
        <v>5</v>
      </c>
    </row>
    <row r="838" spans="1:10">
      <c r="A838" s="96">
        <v>114</v>
      </c>
      <c r="B838" s="786" t="s">
        <v>1381</v>
      </c>
      <c r="C838" s="477">
        <v>64400139</v>
      </c>
      <c r="D838" s="470">
        <v>5</v>
      </c>
      <c r="E838" s="761" t="s">
        <v>1314</v>
      </c>
      <c r="F838" s="473"/>
      <c r="G838" s="470"/>
      <c r="H838" s="470">
        <v>3</v>
      </c>
      <c r="I838" s="470">
        <v>2</v>
      </c>
      <c r="J838" s="470"/>
    </row>
    <row r="839" spans="1:10">
      <c r="A839" s="96">
        <v>115</v>
      </c>
      <c r="B839" s="786" t="s">
        <v>1382</v>
      </c>
      <c r="C839" s="477">
        <v>64400140</v>
      </c>
      <c r="D839" s="470">
        <v>5</v>
      </c>
      <c r="E839" s="761" t="s">
        <v>1314</v>
      </c>
      <c r="F839" s="473"/>
      <c r="G839" s="470"/>
      <c r="H839" s="470">
        <v>3</v>
      </c>
      <c r="I839" s="470">
        <v>2</v>
      </c>
      <c r="J839" s="470"/>
    </row>
    <row r="840" spans="1:10">
      <c r="A840" s="96">
        <v>116</v>
      </c>
      <c r="B840" s="786" t="s">
        <v>1383</v>
      </c>
      <c r="C840" s="477">
        <v>63500238</v>
      </c>
      <c r="D840" s="470">
        <v>5</v>
      </c>
      <c r="E840" s="761" t="s">
        <v>1314</v>
      </c>
      <c r="F840" s="473"/>
      <c r="G840" s="470"/>
      <c r="H840" s="470">
        <v>3</v>
      </c>
      <c r="I840" s="470">
        <v>2</v>
      </c>
      <c r="J840" s="470"/>
    </row>
    <row r="841" spans="1:10">
      <c r="A841" s="96">
        <v>117</v>
      </c>
      <c r="B841" s="786" t="s">
        <v>1384</v>
      </c>
      <c r="C841" s="465">
        <v>63200165</v>
      </c>
      <c r="D841" s="470">
        <v>5</v>
      </c>
      <c r="E841" s="761" t="s">
        <v>1314</v>
      </c>
      <c r="F841" s="473"/>
      <c r="G841" s="470"/>
      <c r="H841" s="470">
        <v>5</v>
      </c>
      <c r="I841" s="470"/>
      <c r="J841" s="470"/>
    </row>
    <row r="842" spans="1:10">
      <c r="A842" s="96">
        <v>118</v>
      </c>
      <c r="B842" s="786" t="s">
        <v>1385</v>
      </c>
      <c r="C842" s="465">
        <v>63400348</v>
      </c>
      <c r="D842" s="470">
        <v>5</v>
      </c>
      <c r="E842" s="761" t="s">
        <v>1314</v>
      </c>
      <c r="F842" s="473"/>
      <c r="G842" s="470"/>
      <c r="H842" s="470">
        <v>5</v>
      </c>
      <c r="I842" s="470"/>
      <c r="J842" s="470"/>
    </row>
    <row r="843" spans="1:10">
      <c r="A843" s="96">
        <v>119</v>
      </c>
      <c r="B843" s="786" t="s">
        <v>1386</v>
      </c>
      <c r="C843" s="465">
        <v>63400259</v>
      </c>
      <c r="D843" s="470">
        <v>3</v>
      </c>
      <c r="E843" s="761" t="s">
        <v>1314</v>
      </c>
      <c r="F843" s="473"/>
      <c r="G843" s="470"/>
      <c r="H843" s="470">
        <v>2</v>
      </c>
      <c r="I843" s="470">
        <v>1</v>
      </c>
      <c r="J843" s="470">
        <v>0</v>
      </c>
    </row>
    <row r="844" spans="1:10">
      <c r="A844" s="96">
        <v>120</v>
      </c>
      <c r="B844" s="786" t="s">
        <v>1356</v>
      </c>
      <c r="C844" s="465">
        <v>64700140</v>
      </c>
      <c r="D844" s="470">
        <v>5</v>
      </c>
      <c r="E844" s="761" t="s">
        <v>1314</v>
      </c>
      <c r="F844" s="473"/>
      <c r="G844" s="470"/>
      <c r="H844" s="470">
        <v>2</v>
      </c>
      <c r="I844" s="470">
        <v>2</v>
      </c>
      <c r="J844" s="470">
        <v>1</v>
      </c>
    </row>
    <row r="845" spans="1:10">
      <c r="A845" s="96">
        <v>121</v>
      </c>
      <c r="B845" s="786" t="s">
        <v>1323</v>
      </c>
      <c r="C845" s="465">
        <v>64700165</v>
      </c>
      <c r="D845" s="470">
        <v>5</v>
      </c>
      <c r="E845" s="761" t="s">
        <v>1314</v>
      </c>
      <c r="F845" s="473"/>
      <c r="G845" s="470"/>
      <c r="H845" s="470">
        <v>2</v>
      </c>
      <c r="I845" s="470">
        <v>2</v>
      </c>
      <c r="J845" s="470">
        <v>1</v>
      </c>
    </row>
    <row r="846" spans="1:10">
      <c r="A846" s="96">
        <v>122</v>
      </c>
      <c r="B846" s="786" t="s">
        <v>1356</v>
      </c>
      <c r="C846" s="465">
        <v>63300319</v>
      </c>
      <c r="D846" s="470">
        <v>3</v>
      </c>
      <c r="E846" s="761" t="s">
        <v>1314</v>
      </c>
      <c r="F846" s="473"/>
      <c r="G846" s="470"/>
      <c r="H846" s="470">
        <v>2</v>
      </c>
      <c r="I846" s="470">
        <v>1</v>
      </c>
      <c r="J846" s="470"/>
    </row>
    <row r="847" spans="1:10">
      <c r="A847" s="96">
        <v>123</v>
      </c>
      <c r="B847" s="786" t="s">
        <v>1387</v>
      </c>
      <c r="C847" s="465">
        <v>65500111</v>
      </c>
      <c r="D847" s="470">
        <v>1</v>
      </c>
      <c r="E847" s="761" t="s">
        <v>1314</v>
      </c>
      <c r="F847" s="761" t="s">
        <v>1994</v>
      </c>
      <c r="G847" s="470"/>
      <c r="H847" s="470">
        <v>1</v>
      </c>
      <c r="I847" s="470"/>
      <c r="J847" s="470"/>
    </row>
    <row r="848" spans="1:10">
      <c r="A848" s="96">
        <v>124</v>
      </c>
      <c r="B848" s="786" t="s">
        <v>1388</v>
      </c>
      <c r="C848" s="465">
        <v>63400326</v>
      </c>
      <c r="D848" s="470">
        <v>10</v>
      </c>
      <c r="E848" s="761" t="s">
        <v>1314</v>
      </c>
      <c r="F848" s="761" t="s">
        <v>1994</v>
      </c>
      <c r="G848" s="470"/>
      <c r="H848" s="470">
        <v>4</v>
      </c>
      <c r="I848" s="470">
        <v>4</v>
      </c>
      <c r="J848" s="470">
        <v>2</v>
      </c>
    </row>
    <row r="849" spans="1:10">
      <c r="A849" s="96">
        <v>125</v>
      </c>
      <c r="B849" s="786" t="s">
        <v>1389</v>
      </c>
      <c r="C849" s="465">
        <v>65500108</v>
      </c>
      <c r="D849" s="470">
        <v>1</v>
      </c>
      <c r="E849" s="761" t="s">
        <v>1314</v>
      </c>
      <c r="F849" s="473"/>
      <c r="G849" s="470"/>
      <c r="H849" s="470">
        <v>1</v>
      </c>
      <c r="I849" s="470"/>
      <c r="J849" s="470"/>
    </row>
    <row r="850" spans="1:10">
      <c r="A850" s="96">
        <v>126</v>
      </c>
      <c r="B850" s="786" t="s">
        <v>1390</v>
      </c>
      <c r="C850" s="465">
        <v>63400332</v>
      </c>
      <c r="D850" s="470">
        <v>2</v>
      </c>
      <c r="E850" s="761" t="s">
        <v>1314</v>
      </c>
      <c r="F850" s="473"/>
      <c r="G850" s="470"/>
      <c r="H850" s="470"/>
      <c r="I850" s="470">
        <v>2</v>
      </c>
      <c r="J850" s="470"/>
    </row>
    <row r="851" spans="1:10">
      <c r="A851" s="96">
        <v>127</v>
      </c>
      <c r="B851" s="786" t="s">
        <v>1391</v>
      </c>
      <c r="C851" s="465">
        <v>63300226</v>
      </c>
      <c r="D851" s="470">
        <v>5</v>
      </c>
      <c r="E851" s="761" t="s">
        <v>1314</v>
      </c>
      <c r="F851" s="761" t="s">
        <v>1994</v>
      </c>
      <c r="G851" s="470"/>
      <c r="H851" s="470">
        <v>2</v>
      </c>
      <c r="I851" s="470">
        <v>2</v>
      </c>
      <c r="J851" s="470">
        <v>1</v>
      </c>
    </row>
    <row r="852" spans="1:10">
      <c r="A852" s="96">
        <v>128</v>
      </c>
      <c r="B852" s="786" t="s">
        <v>1392</v>
      </c>
      <c r="C852" s="465">
        <v>63300165</v>
      </c>
      <c r="D852" s="470">
        <v>2</v>
      </c>
      <c r="E852" s="761" t="s">
        <v>1314</v>
      </c>
      <c r="F852" s="473"/>
      <c r="G852" s="470"/>
      <c r="H852" s="470">
        <v>1</v>
      </c>
      <c r="I852" s="470">
        <v>1</v>
      </c>
      <c r="J852" s="470"/>
    </row>
    <row r="853" spans="1:10">
      <c r="A853" s="96">
        <v>129</v>
      </c>
      <c r="B853" s="786" t="s">
        <v>1393</v>
      </c>
      <c r="C853" s="465">
        <v>64500142</v>
      </c>
      <c r="D853" s="470">
        <v>1</v>
      </c>
      <c r="E853" s="761" t="s">
        <v>1314</v>
      </c>
      <c r="F853" s="473"/>
      <c r="G853" s="470"/>
      <c r="H853" s="470">
        <v>1</v>
      </c>
      <c r="I853" s="470"/>
      <c r="J853" s="470"/>
    </row>
    <row r="854" spans="1:10">
      <c r="A854" s="96">
        <v>130</v>
      </c>
      <c r="B854" s="786" t="s">
        <v>1394</v>
      </c>
      <c r="C854" s="465">
        <v>63300111</v>
      </c>
      <c r="D854" s="470">
        <v>30</v>
      </c>
      <c r="E854" s="761" t="s">
        <v>1314</v>
      </c>
      <c r="F854" s="761" t="s">
        <v>1997</v>
      </c>
      <c r="G854" s="470"/>
      <c r="H854" s="470">
        <v>15</v>
      </c>
      <c r="I854" s="470">
        <v>15</v>
      </c>
      <c r="J854" s="470"/>
    </row>
    <row r="855" spans="1:10">
      <c r="A855" s="96">
        <v>131</v>
      </c>
      <c r="B855" s="786" t="s">
        <v>1394</v>
      </c>
      <c r="C855" s="465">
        <v>63300110</v>
      </c>
      <c r="D855" s="470">
        <v>30</v>
      </c>
      <c r="E855" s="761" t="s">
        <v>1314</v>
      </c>
      <c r="F855" s="761" t="s">
        <v>1998</v>
      </c>
      <c r="G855" s="470"/>
      <c r="H855" s="470">
        <v>15</v>
      </c>
      <c r="I855" s="470">
        <v>15</v>
      </c>
      <c r="J855" s="470"/>
    </row>
    <row r="856" spans="1:10">
      <c r="A856" s="96">
        <v>132</v>
      </c>
      <c r="B856" s="786" t="s">
        <v>1394</v>
      </c>
      <c r="C856" s="465">
        <v>63300137</v>
      </c>
      <c r="D856" s="470">
        <v>5</v>
      </c>
      <c r="E856" s="761" t="s">
        <v>1314</v>
      </c>
      <c r="F856" s="473"/>
      <c r="G856" s="470"/>
      <c r="H856" s="470">
        <v>5</v>
      </c>
      <c r="I856" s="470"/>
      <c r="J856" s="470"/>
    </row>
    <row r="857" spans="1:10">
      <c r="A857" s="96">
        <v>133</v>
      </c>
      <c r="B857" s="786" t="s">
        <v>1394</v>
      </c>
      <c r="C857" s="465">
        <v>63300153</v>
      </c>
      <c r="D857" s="470">
        <v>5</v>
      </c>
      <c r="E857" s="761" t="s">
        <v>1314</v>
      </c>
      <c r="F857" s="761" t="s">
        <v>1999</v>
      </c>
      <c r="G857" s="470"/>
      <c r="H857" s="470">
        <v>5</v>
      </c>
      <c r="I857" s="470"/>
      <c r="J857" s="470"/>
    </row>
    <row r="858" spans="1:10">
      <c r="A858" s="96">
        <v>134</v>
      </c>
      <c r="B858" s="786" t="s">
        <v>1395</v>
      </c>
      <c r="C858" s="465">
        <v>63500100</v>
      </c>
      <c r="D858" s="470">
        <v>10</v>
      </c>
      <c r="E858" s="761" t="s">
        <v>1314</v>
      </c>
      <c r="F858" s="761" t="s">
        <v>1994</v>
      </c>
      <c r="G858" s="470"/>
      <c r="H858" s="470">
        <v>5</v>
      </c>
      <c r="I858" s="470">
        <v>5</v>
      </c>
      <c r="J858" s="470"/>
    </row>
    <row r="859" spans="1:10">
      <c r="A859" s="96">
        <v>135</v>
      </c>
      <c r="B859" s="786" t="s">
        <v>1396</v>
      </c>
      <c r="C859" s="465">
        <v>63500103</v>
      </c>
      <c r="D859" s="470">
        <v>20</v>
      </c>
      <c r="E859" s="761" t="s">
        <v>1314</v>
      </c>
      <c r="F859" s="761" t="s">
        <v>1991</v>
      </c>
      <c r="G859" s="470"/>
      <c r="H859" s="470">
        <v>10</v>
      </c>
      <c r="I859" s="470">
        <v>10</v>
      </c>
      <c r="J859" s="470"/>
    </row>
    <row r="860" spans="1:10">
      <c r="A860" s="96">
        <v>136</v>
      </c>
      <c r="B860" s="786" t="s">
        <v>1397</v>
      </c>
      <c r="C860" s="465">
        <v>63500101</v>
      </c>
      <c r="D860" s="470">
        <v>10</v>
      </c>
      <c r="E860" s="761" t="s">
        <v>1314</v>
      </c>
      <c r="F860" s="761" t="s">
        <v>1994</v>
      </c>
      <c r="G860" s="470"/>
      <c r="H860" s="470">
        <v>5</v>
      </c>
      <c r="I860" s="470">
        <v>5</v>
      </c>
      <c r="J860" s="470"/>
    </row>
    <row r="861" spans="1:10">
      <c r="A861" s="96">
        <v>137</v>
      </c>
      <c r="B861" s="786" t="s">
        <v>1398</v>
      </c>
      <c r="C861" s="465">
        <v>63500104</v>
      </c>
      <c r="D861" s="470">
        <v>50</v>
      </c>
      <c r="E861" s="761" t="s">
        <v>1314</v>
      </c>
      <c r="F861" s="761" t="s">
        <v>2000</v>
      </c>
      <c r="G861" s="470"/>
      <c r="H861" s="470">
        <v>25</v>
      </c>
      <c r="I861" s="470">
        <v>25</v>
      </c>
      <c r="J861" s="470"/>
    </row>
    <row r="862" spans="1:10">
      <c r="A862" s="96">
        <v>138</v>
      </c>
      <c r="B862" s="786" t="s">
        <v>1399</v>
      </c>
      <c r="C862" s="465">
        <v>63500102</v>
      </c>
      <c r="D862" s="470">
        <v>20</v>
      </c>
      <c r="E862" s="761" t="s">
        <v>1314</v>
      </c>
      <c r="F862" s="761" t="s">
        <v>1991</v>
      </c>
      <c r="G862" s="470"/>
      <c r="H862" s="470">
        <v>10</v>
      </c>
      <c r="I862" s="470">
        <v>10</v>
      </c>
      <c r="J862" s="470"/>
    </row>
    <row r="863" spans="1:10">
      <c r="A863" s="96">
        <v>139</v>
      </c>
      <c r="B863" s="786" t="s">
        <v>1401</v>
      </c>
      <c r="C863" s="465">
        <v>63400379</v>
      </c>
      <c r="D863" s="470">
        <v>10</v>
      </c>
      <c r="E863" s="761" t="s">
        <v>1314</v>
      </c>
      <c r="F863" s="761"/>
      <c r="G863" s="470"/>
      <c r="H863" s="470">
        <v>10</v>
      </c>
      <c r="I863" s="470"/>
      <c r="J863" s="470"/>
    </row>
    <row r="864" spans="1:10">
      <c r="A864" s="96">
        <v>140</v>
      </c>
      <c r="B864" s="786" t="s">
        <v>1401</v>
      </c>
      <c r="C864" s="465">
        <v>63400357</v>
      </c>
      <c r="D864" s="470">
        <v>6</v>
      </c>
      <c r="E864" s="761" t="s">
        <v>1314</v>
      </c>
      <c r="F864" s="761"/>
      <c r="G864" s="470"/>
      <c r="H864" s="470">
        <v>6</v>
      </c>
      <c r="I864" s="470"/>
      <c r="J864" s="470"/>
    </row>
    <row r="865" spans="1:10">
      <c r="A865" s="96">
        <v>141</v>
      </c>
      <c r="B865" s="786" t="s">
        <v>1401</v>
      </c>
      <c r="C865" s="465">
        <v>64500292</v>
      </c>
      <c r="D865" s="470">
        <v>6</v>
      </c>
      <c r="E865" s="761" t="s">
        <v>1314</v>
      </c>
      <c r="F865" s="761"/>
      <c r="G865" s="470"/>
      <c r="H865" s="470">
        <v>6</v>
      </c>
      <c r="I865" s="470"/>
      <c r="J865" s="470"/>
    </row>
    <row r="866" spans="1:10">
      <c r="A866" s="96">
        <v>142</v>
      </c>
      <c r="B866" s="786" t="s">
        <v>1402</v>
      </c>
      <c r="C866" s="465">
        <v>63500363</v>
      </c>
      <c r="D866" s="470">
        <v>4</v>
      </c>
      <c r="E866" s="761" t="s">
        <v>1314</v>
      </c>
      <c r="F866" s="761"/>
      <c r="G866" s="470"/>
      <c r="H866" s="470">
        <v>2</v>
      </c>
      <c r="I866" s="470">
        <v>2</v>
      </c>
      <c r="J866" s="470"/>
    </row>
    <row r="867" spans="1:10">
      <c r="A867" s="96">
        <v>143</v>
      </c>
      <c r="B867" s="786" t="s">
        <v>1403</v>
      </c>
      <c r="C867" s="465">
        <v>63611121</v>
      </c>
      <c r="D867" s="470">
        <v>5</v>
      </c>
      <c r="E867" s="761" t="s">
        <v>1314</v>
      </c>
      <c r="F867" s="761"/>
      <c r="G867" s="470"/>
      <c r="H867" s="470">
        <v>2</v>
      </c>
      <c r="I867" s="470">
        <v>2</v>
      </c>
      <c r="J867" s="470">
        <v>1</v>
      </c>
    </row>
    <row r="868" spans="1:10">
      <c r="A868" s="96">
        <v>144</v>
      </c>
      <c r="B868" s="786" t="s">
        <v>1404</v>
      </c>
      <c r="C868" s="465">
        <v>64500241</v>
      </c>
      <c r="D868" s="470">
        <v>5</v>
      </c>
      <c r="E868" s="761" t="s">
        <v>1314</v>
      </c>
      <c r="F868" s="761"/>
      <c r="G868" s="470"/>
      <c r="H868" s="470">
        <v>2</v>
      </c>
      <c r="I868" s="470">
        <v>2</v>
      </c>
      <c r="J868" s="470">
        <v>1</v>
      </c>
    </row>
    <row r="869" spans="1:10">
      <c r="A869" s="96">
        <v>145</v>
      </c>
      <c r="B869" s="786" t="s">
        <v>1405</v>
      </c>
      <c r="C869" s="465">
        <v>64400112</v>
      </c>
      <c r="D869" s="470">
        <v>5</v>
      </c>
      <c r="E869" s="761" t="s">
        <v>1314</v>
      </c>
      <c r="F869" s="761"/>
      <c r="G869" s="470"/>
      <c r="H869" s="470">
        <v>3</v>
      </c>
      <c r="I869" s="470">
        <v>1</v>
      </c>
      <c r="J869" s="470">
        <v>1</v>
      </c>
    </row>
    <row r="870" spans="1:10">
      <c r="A870" s="96">
        <v>146</v>
      </c>
      <c r="B870" s="786" t="s">
        <v>1406</v>
      </c>
      <c r="C870" s="465">
        <v>64400117</v>
      </c>
      <c r="D870" s="470">
        <v>5</v>
      </c>
      <c r="E870" s="761" t="s">
        <v>1314</v>
      </c>
      <c r="F870" s="761"/>
      <c r="G870" s="470"/>
      <c r="H870" s="470">
        <v>3</v>
      </c>
      <c r="I870" s="470">
        <v>1</v>
      </c>
      <c r="J870" s="470">
        <v>1</v>
      </c>
    </row>
    <row r="871" spans="1:10">
      <c r="A871" s="96">
        <v>147</v>
      </c>
      <c r="B871" s="786" t="s">
        <v>1407</v>
      </c>
      <c r="C871" s="465">
        <v>64400115</v>
      </c>
      <c r="D871" s="470">
        <v>5</v>
      </c>
      <c r="E871" s="761" t="s">
        <v>1314</v>
      </c>
      <c r="F871" s="761"/>
      <c r="G871" s="470"/>
      <c r="H871" s="470">
        <v>3</v>
      </c>
      <c r="I871" s="470">
        <v>1</v>
      </c>
      <c r="J871" s="470">
        <v>1</v>
      </c>
    </row>
    <row r="872" spans="1:10">
      <c r="A872" s="96">
        <v>148</v>
      </c>
      <c r="B872" s="786" t="s">
        <v>1408</v>
      </c>
      <c r="C872" s="465">
        <v>80100128</v>
      </c>
      <c r="D872" s="470">
        <v>100</v>
      </c>
      <c r="E872" s="761" t="s">
        <v>1314</v>
      </c>
      <c r="F872" s="761"/>
      <c r="G872" s="470"/>
      <c r="H872" s="470">
        <v>50</v>
      </c>
      <c r="I872" s="470">
        <v>50</v>
      </c>
      <c r="J872" s="470"/>
    </row>
    <row r="873" spans="1:10">
      <c r="A873" s="96">
        <v>149</v>
      </c>
      <c r="B873" s="786" t="s">
        <v>860</v>
      </c>
      <c r="C873" s="465">
        <v>64400142</v>
      </c>
      <c r="D873" s="470">
        <v>20</v>
      </c>
      <c r="E873" s="761" t="s">
        <v>1314</v>
      </c>
      <c r="F873" s="761"/>
      <c r="G873" s="470"/>
      <c r="H873" s="470">
        <v>10</v>
      </c>
      <c r="I873" s="470">
        <v>10</v>
      </c>
      <c r="J873" s="470"/>
    </row>
    <row r="874" spans="1:10">
      <c r="A874" s="96">
        <v>150</v>
      </c>
      <c r="B874" s="786" t="s">
        <v>1394</v>
      </c>
      <c r="C874" s="465">
        <v>63300152</v>
      </c>
      <c r="D874" s="470">
        <v>10</v>
      </c>
      <c r="E874" s="761" t="s">
        <v>1314</v>
      </c>
      <c r="F874" s="761"/>
      <c r="G874" s="470"/>
      <c r="H874" s="470">
        <v>5</v>
      </c>
      <c r="I874" s="470">
        <v>5</v>
      </c>
      <c r="J874" s="470"/>
    </row>
    <row r="875" spans="1:10">
      <c r="A875" s="96">
        <v>151</v>
      </c>
      <c r="B875" s="786" t="s">
        <v>1394</v>
      </c>
      <c r="C875" s="465">
        <v>63300144</v>
      </c>
      <c r="D875" s="470">
        <v>5</v>
      </c>
      <c r="E875" s="761" t="s">
        <v>1314</v>
      </c>
      <c r="F875" s="761"/>
      <c r="G875" s="470"/>
      <c r="H875" s="470">
        <v>5</v>
      </c>
      <c r="I875" s="470"/>
      <c r="J875" s="470"/>
    </row>
    <row r="876" spans="1:10">
      <c r="A876" s="96">
        <v>152</v>
      </c>
      <c r="B876" s="786" t="s">
        <v>1394</v>
      </c>
      <c r="C876" s="465">
        <v>63300146</v>
      </c>
      <c r="D876" s="470">
        <v>5</v>
      </c>
      <c r="E876" s="761" t="s">
        <v>1314</v>
      </c>
      <c r="F876" s="761"/>
      <c r="G876" s="470"/>
      <c r="H876" s="470">
        <v>5</v>
      </c>
      <c r="I876" s="470"/>
      <c r="J876" s="470"/>
    </row>
    <row r="877" spans="1:10">
      <c r="A877" s="96">
        <v>153</v>
      </c>
      <c r="B877" s="786" t="s">
        <v>1394</v>
      </c>
      <c r="C877" s="465">
        <v>63300133</v>
      </c>
      <c r="D877" s="470">
        <v>3</v>
      </c>
      <c r="E877" s="761" t="s">
        <v>1314</v>
      </c>
      <c r="F877" s="761"/>
      <c r="G877" s="470"/>
      <c r="H877" s="470">
        <v>3</v>
      </c>
      <c r="I877" s="470"/>
      <c r="J877" s="470"/>
    </row>
    <row r="878" spans="1:10">
      <c r="A878" s="96">
        <v>154</v>
      </c>
      <c r="B878" s="786" t="s">
        <v>1409</v>
      </c>
      <c r="C878" s="465">
        <v>63300186</v>
      </c>
      <c r="D878" s="470">
        <v>1</v>
      </c>
      <c r="E878" s="761" t="s">
        <v>1314</v>
      </c>
      <c r="F878" s="761"/>
      <c r="G878" s="470"/>
      <c r="H878" s="470">
        <v>1</v>
      </c>
      <c r="I878" s="470"/>
      <c r="J878" s="470"/>
    </row>
    <row r="879" spans="1:10">
      <c r="A879" s="96">
        <v>155</v>
      </c>
      <c r="B879" s="786" t="s">
        <v>1410</v>
      </c>
      <c r="C879" s="465">
        <v>64500167</v>
      </c>
      <c r="D879" s="470">
        <v>3</v>
      </c>
      <c r="E879" s="761" t="s">
        <v>1314</v>
      </c>
      <c r="F879" s="761"/>
      <c r="G879" s="470"/>
      <c r="H879" s="470">
        <v>2</v>
      </c>
      <c r="I879" s="470">
        <v>1</v>
      </c>
      <c r="J879" s="470"/>
    </row>
    <row r="880" spans="1:10">
      <c r="A880" s="96">
        <v>156</v>
      </c>
      <c r="B880" s="786" t="s">
        <v>1411</v>
      </c>
      <c r="C880" s="465">
        <v>64400106</v>
      </c>
      <c r="D880" s="470">
        <v>1</v>
      </c>
      <c r="E880" s="761" t="s">
        <v>1314</v>
      </c>
      <c r="F880" s="761"/>
      <c r="G880" s="470"/>
      <c r="H880" s="470">
        <v>1</v>
      </c>
      <c r="I880" s="470"/>
      <c r="J880" s="470"/>
    </row>
    <row r="881" spans="1:10">
      <c r="A881" s="96">
        <v>157</v>
      </c>
      <c r="B881" s="786" t="s">
        <v>1400</v>
      </c>
      <c r="C881" s="465">
        <v>80200124</v>
      </c>
      <c r="D881" s="470">
        <v>20</v>
      </c>
      <c r="E881" s="761" t="s">
        <v>1314</v>
      </c>
      <c r="F881" s="761"/>
      <c r="G881" s="470"/>
      <c r="H881" s="470">
        <v>20</v>
      </c>
      <c r="I881" s="470"/>
      <c r="J881" s="470"/>
    </row>
    <row r="882" spans="1:10">
      <c r="A882" s="96">
        <v>158</v>
      </c>
      <c r="B882" s="786" t="s">
        <v>965</v>
      </c>
      <c r="C882" s="761">
        <v>64500145</v>
      </c>
      <c r="D882" s="470">
        <v>4</v>
      </c>
      <c r="E882" s="761" t="s">
        <v>1314</v>
      </c>
      <c r="F882" s="761"/>
      <c r="G882" s="470"/>
      <c r="H882" s="470">
        <v>2</v>
      </c>
      <c r="I882" s="470">
        <v>2</v>
      </c>
      <c r="J882" s="470"/>
    </row>
    <row r="883" spans="1:10">
      <c r="A883" s="96">
        <v>159</v>
      </c>
      <c r="B883" s="786" t="s">
        <v>2001</v>
      </c>
      <c r="C883" s="466">
        <v>65500104</v>
      </c>
      <c r="D883" s="470">
        <v>1</v>
      </c>
      <c r="E883" s="761" t="s">
        <v>1314</v>
      </c>
      <c r="F883" s="473"/>
      <c r="G883" s="470"/>
      <c r="H883" s="470"/>
      <c r="I883" s="470">
        <v>1</v>
      </c>
      <c r="J883" s="470"/>
    </row>
    <row r="884" spans="1:10">
      <c r="A884" s="96">
        <v>160</v>
      </c>
      <c r="B884" s="786" t="s">
        <v>927</v>
      </c>
      <c r="C884" s="466">
        <v>63200196</v>
      </c>
      <c r="D884" s="470">
        <v>20</v>
      </c>
      <c r="E884" s="761" t="s">
        <v>1314</v>
      </c>
      <c r="F884" s="473"/>
      <c r="G884" s="470"/>
      <c r="H884" s="470">
        <v>10</v>
      </c>
      <c r="I884" s="470">
        <v>10</v>
      </c>
      <c r="J884" s="470"/>
    </row>
    <row r="885" spans="1:10">
      <c r="A885" s="96">
        <v>161</v>
      </c>
      <c r="B885" s="786" t="s">
        <v>2002</v>
      </c>
      <c r="C885" s="466">
        <v>88169113</v>
      </c>
      <c r="D885" s="470">
        <v>6</v>
      </c>
      <c r="E885" s="761" t="s">
        <v>1314</v>
      </c>
      <c r="F885" s="473"/>
      <c r="G885" s="470"/>
      <c r="H885" s="470">
        <v>6</v>
      </c>
      <c r="I885" s="470"/>
      <c r="J885" s="470"/>
    </row>
    <row r="886" spans="1:10">
      <c r="A886" s="96">
        <v>162</v>
      </c>
      <c r="B886" s="786" t="s">
        <v>2003</v>
      </c>
      <c r="C886" s="466">
        <v>64500144</v>
      </c>
      <c r="D886" s="470">
        <v>1</v>
      </c>
      <c r="E886" s="761" t="s">
        <v>1314</v>
      </c>
      <c r="F886" s="473"/>
      <c r="G886" s="470"/>
      <c r="H886" s="470">
        <v>1</v>
      </c>
      <c r="I886" s="470"/>
      <c r="J886" s="470"/>
    </row>
    <row r="887" spans="1:10">
      <c r="A887" s="96">
        <v>163</v>
      </c>
      <c r="B887" s="786" t="s">
        <v>1394</v>
      </c>
      <c r="C887" s="466">
        <v>63300139</v>
      </c>
      <c r="D887" s="470">
        <v>5</v>
      </c>
      <c r="E887" s="761" t="s">
        <v>1314</v>
      </c>
      <c r="F887" s="473"/>
      <c r="G887" s="470"/>
      <c r="H887" s="470">
        <v>5</v>
      </c>
      <c r="I887" s="470"/>
      <c r="J887" s="470"/>
    </row>
    <row r="888" spans="1:10">
      <c r="A888" s="96">
        <v>164</v>
      </c>
      <c r="B888" s="786" t="s">
        <v>1394</v>
      </c>
      <c r="C888" s="466">
        <v>63300150</v>
      </c>
      <c r="D888" s="470">
        <v>3</v>
      </c>
      <c r="E888" s="761" t="s">
        <v>1314</v>
      </c>
      <c r="F888" s="473"/>
      <c r="G888" s="470"/>
      <c r="H888" s="470">
        <v>3</v>
      </c>
      <c r="I888" s="470"/>
      <c r="J888" s="470"/>
    </row>
    <row r="889" spans="1:10" ht="18.75">
      <c r="A889" s="1030" t="s">
        <v>1412</v>
      </c>
      <c r="B889" s="1030"/>
      <c r="C889" s="1030"/>
      <c r="D889" s="1030"/>
      <c r="E889" s="1030"/>
      <c r="F889" s="1030"/>
      <c r="G889" s="1030"/>
      <c r="H889" s="1030"/>
      <c r="I889" s="1030"/>
      <c r="J889" s="1030"/>
    </row>
    <row r="890" spans="1:10">
      <c r="A890" s="96">
        <v>165</v>
      </c>
      <c r="B890" s="786" t="s">
        <v>1413</v>
      </c>
      <c r="C890" s="761">
        <v>63400399</v>
      </c>
      <c r="D890" s="470">
        <v>8</v>
      </c>
      <c r="E890" s="761" t="s">
        <v>1314</v>
      </c>
      <c r="F890" s="473"/>
      <c r="G890" s="470"/>
      <c r="H890" s="470">
        <v>8</v>
      </c>
      <c r="I890" s="470"/>
      <c r="J890" s="470"/>
    </row>
    <row r="891" spans="1:10">
      <c r="A891" s="96">
        <v>166</v>
      </c>
      <c r="B891" s="786" t="s">
        <v>1413</v>
      </c>
      <c r="C891" s="761">
        <v>63400398</v>
      </c>
      <c r="D891" s="470">
        <v>4</v>
      </c>
      <c r="E891" s="761" t="s">
        <v>1314</v>
      </c>
      <c r="F891" s="473"/>
      <c r="G891" s="470"/>
      <c r="H891" s="470">
        <v>4</v>
      </c>
      <c r="I891" s="470"/>
      <c r="J891" s="470"/>
    </row>
    <row r="892" spans="1:10">
      <c r="A892" s="96">
        <v>167</v>
      </c>
      <c r="B892" s="786" t="s">
        <v>1328</v>
      </c>
      <c r="C892" s="761">
        <v>63200175</v>
      </c>
      <c r="D892" s="470">
        <v>2</v>
      </c>
      <c r="E892" s="761" t="s">
        <v>1314</v>
      </c>
      <c r="F892" s="473"/>
      <c r="G892" s="470"/>
      <c r="H892" s="470"/>
      <c r="I892" s="470">
        <v>2</v>
      </c>
      <c r="J892" s="470"/>
    </row>
    <row r="893" spans="1:10">
      <c r="A893" s="96">
        <v>168</v>
      </c>
      <c r="B893" s="786" t="s">
        <v>1414</v>
      </c>
      <c r="C893" s="761">
        <v>63200207</v>
      </c>
      <c r="D893" s="470">
        <v>2</v>
      </c>
      <c r="E893" s="761" t="s">
        <v>1314</v>
      </c>
      <c r="F893" s="473"/>
      <c r="G893" s="470"/>
      <c r="H893" s="470"/>
      <c r="I893" s="470">
        <v>2</v>
      </c>
      <c r="J893" s="470"/>
    </row>
    <row r="894" spans="1:10" s="174" customFormat="1">
      <c r="A894" s="96">
        <v>169</v>
      </c>
      <c r="B894" s="786" t="s">
        <v>1415</v>
      </c>
      <c r="C894" s="761">
        <v>63200176</v>
      </c>
      <c r="D894" s="470">
        <v>2</v>
      </c>
      <c r="E894" s="761" t="s">
        <v>1314</v>
      </c>
      <c r="F894" s="473"/>
      <c r="G894" s="470"/>
      <c r="H894" s="470"/>
      <c r="I894" s="470">
        <v>2</v>
      </c>
      <c r="J894" s="470"/>
    </row>
    <row r="895" spans="1:10" s="174" customFormat="1">
      <c r="A895" s="96">
        <v>170</v>
      </c>
      <c r="B895" s="786" t="s">
        <v>1359</v>
      </c>
      <c r="C895" s="761">
        <v>63400389</v>
      </c>
      <c r="D895" s="470">
        <v>4</v>
      </c>
      <c r="E895" s="761" t="s">
        <v>1314</v>
      </c>
      <c r="F895" s="473"/>
      <c r="G895" s="470"/>
      <c r="H895" s="470">
        <v>4</v>
      </c>
      <c r="I895" s="470"/>
      <c r="J895" s="470"/>
    </row>
    <row r="896" spans="1:10" s="174" customFormat="1">
      <c r="A896" s="96">
        <v>171</v>
      </c>
      <c r="B896" s="786" t="s">
        <v>1354</v>
      </c>
      <c r="C896" s="761">
        <v>63200177</v>
      </c>
      <c r="D896" s="470">
        <v>4</v>
      </c>
      <c r="E896" s="761" t="s">
        <v>1314</v>
      </c>
      <c r="F896" s="473"/>
      <c r="G896" s="470"/>
      <c r="H896" s="470">
        <v>4</v>
      </c>
      <c r="I896" s="470"/>
      <c r="J896" s="470"/>
    </row>
    <row r="897" spans="1:10" s="174" customFormat="1">
      <c r="A897" s="96">
        <v>172</v>
      </c>
      <c r="B897" s="786" t="s">
        <v>1416</v>
      </c>
      <c r="C897" s="761">
        <v>63100147</v>
      </c>
      <c r="D897" s="470">
        <v>84</v>
      </c>
      <c r="E897" s="761" t="s">
        <v>1314</v>
      </c>
      <c r="F897" s="473"/>
      <c r="G897" s="470"/>
      <c r="H897" s="470">
        <v>42</v>
      </c>
      <c r="I897" s="470">
        <v>42</v>
      </c>
      <c r="J897" s="470"/>
    </row>
    <row r="898" spans="1:10" s="174" customFormat="1">
      <c r="A898" s="96">
        <v>173</v>
      </c>
      <c r="B898" s="786" t="s">
        <v>1329</v>
      </c>
      <c r="C898" s="761">
        <v>63200184</v>
      </c>
      <c r="D898" s="470">
        <v>4</v>
      </c>
      <c r="E898" s="761" t="s">
        <v>1314</v>
      </c>
      <c r="F898" s="473"/>
      <c r="G898" s="470"/>
      <c r="H898" s="470">
        <v>2</v>
      </c>
      <c r="I898" s="470">
        <v>2</v>
      </c>
      <c r="J898" s="470"/>
    </row>
    <row r="899" spans="1:10" s="174" customFormat="1">
      <c r="A899" s="96">
        <v>174</v>
      </c>
      <c r="B899" s="786" t="s">
        <v>1417</v>
      </c>
      <c r="C899" s="761">
        <v>63500243</v>
      </c>
      <c r="D899" s="470">
        <v>2</v>
      </c>
      <c r="E899" s="761" t="s">
        <v>1314</v>
      </c>
      <c r="F899" s="473"/>
      <c r="G899" s="470"/>
      <c r="H899" s="470">
        <v>2</v>
      </c>
      <c r="I899" s="470"/>
      <c r="J899" s="470"/>
    </row>
    <row r="900" spans="1:10" s="174" customFormat="1">
      <c r="A900" s="96">
        <v>175</v>
      </c>
      <c r="B900" s="786" t="s">
        <v>1418</v>
      </c>
      <c r="C900" s="761">
        <v>63500242</v>
      </c>
      <c r="D900" s="470">
        <v>2</v>
      </c>
      <c r="E900" s="761" t="s">
        <v>1314</v>
      </c>
      <c r="F900" s="473"/>
      <c r="G900" s="470"/>
      <c r="H900" s="470">
        <v>2</v>
      </c>
      <c r="I900" s="470"/>
      <c r="J900" s="470"/>
    </row>
    <row r="901" spans="1:10" s="174" customFormat="1">
      <c r="A901" s="96">
        <v>176</v>
      </c>
      <c r="B901" s="786" t="s">
        <v>1419</v>
      </c>
      <c r="C901" s="761">
        <v>63500251</v>
      </c>
      <c r="D901" s="470">
        <v>2</v>
      </c>
      <c r="E901" s="761" t="s">
        <v>1314</v>
      </c>
      <c r="F901" s="473"/>
      <c r="G901" s="470"/>
      <c r="H901" s="470">
        <v>1</v>
      </c>
      <c r="I901" s="470">
        <v>1</v>
      </c>
      <c r="J901" s="470"/>
    </row>
    <row r="902" spans="1:10" s="174" customFormat="1">
      <c r="A902" s="96">
        <v>177</v>
      </c>
      <c r="B902" s="786" t="s">
        <v>1420</v>
      </c>
      <c r="C902" s="761">
        <v>63500356</v>
      </c>
      <c r="D902" s="470">
        <v>4</v>
      </c>
      <c r="E902" s="761" t="s">
        <v>1314</v>
      </c>
      <c r="F902" s="473"/>
      <c r="G902" s="470"/>
      <c r="H902" s="470">
        <v>2</v>
      </c>
      <c r="I902" s="470">
        <v>2</v>
      </c>
      <c r="J902" s="470"/>
    </row>
    <row r="903" spans="1:10" s="174" customFormat="1">
      <c r="A903" s="96">
        <v>178</v>
      </c>
      <c r="B903" s="786" t="s">
        <v>1421</v>
      </c>
      <c r="C903" s="761">
        <v>63500355</v>
      </c>
      <c r="D903" s="470">
        <v>4</v>
      </c>
      <c r="E903" s="761" t="s">
        <v>1314</v>
      </c>
      <c r="F903" s="473"/>
      <c r="G903" s="470"/>
      <c r="H903" s="470">
        <v>2</v>
      </c>
      <c r="I903" s="470">
        <v>2</v>
      </c>
      <c r="J903" s="470"/>
    </row>
    <row r="904" spans="1:10" s="174" customFormat="1">
      <c r="A904" s="96">
        <v>179</v>
      </c>
      <c r="B904" s="786" t="s">
        <v>1422</v>
      </c>
      <c r="C904" s="761">
        <v>63500354</v>
      </c>
      <c r="D904" s="470">
        <v>2</v>
      </c>
      <c r="E904" s="761" t="s">
        <v>1314</v>
      </c>
      <c r="F904" s="473"/>
      <c r="G904" s="470"/>
      <c r="H904" s="470">
        <v>2</v>
      </c>
      <c r="I904" s="470"/>
      <c r="J904" s="470"/>
    </row>
    <row r="905" spans="1:10" s="174" customFormat="1">
      <c r="A905" s="96">
        <v>180</v>
      </c>
      <c r="B905" s="786" t="s">
        <v>1423</v>
      </c>
      <c r="C905" s="761" t="s">
        <v>1424</v>
      </c>
      <c r="D905" s="470">
        <v>1</v>
      </c>
      <c r="E905" s="761" t="s">
        <v>1314</v>
      </c>
      <c r="F905" s="473"/>
      <c r="G905" s="470"/>
      <c r="H905" s="470">
        <v>1</v>
      </c>
      <c r="I905" s="470"/>
      <c r="J905" s="470"/>
    </row>
    <row r="906" spans="1:10" s="174" customFormat="1" ht="18.75">
      <c r="A906" s="1030" t="s">
        <v>1425</v>
      </c>
      <c r="B906" s="1030"/>
      <c r="C906" s="1030"/>
      <c r="D906" s="1030"/>
      <c r="E906" s="1030"/>
      <c r="F906" s="1030"/>
      <c r="G906" s="1030"/>
      <c r="H906" s="1030"/>
      <c r="I906" s="1030"/>
      <c r="J906" s="1030"/>
    </row>
    <row r="907" spans="1:10" s="174" customFormat="1">
      <c r="A907" s="96">
        <v>181</v>
      </c>
      <c r="B907" s="786" t="s">
        <v>1426</v>
      </c>
      <c r="C907" s="761">
        <v>64200270</v>
      </c>
      <c r="D907" s="470">
        <v>30</v>
      </c>
      <c r="E907" s="761" t="s">
        <v>1314</v>
      </c>
      <c r="F907" s="473"/>
      <c r="G907" s="470"/>
      <c r="H907" s="470">
        <v>30</v>
      </c>
      <c r="I907" s="470"/>
      <c r="J907" s="470"/>
    </row>
    <row r="908" spans="1:10" s="174" customFormat="1">
      <c r="A908" s="96">
        <v>182</v>
      </c>
      <c r="B908" s="786" t="s">
        <v>1427</v>
      </c>
      <c r="C908" s="761">
        <v>80200219</v>
      </c>
      <c r="D908" s="470">
        <v>250</v>
      </c>
      <c r="E908" s="761" t="s">
        <v>1314</v>
      </c>
      <c r="F908" s="473"/>
      <c r="G908" s="470"/>
      <c r="H908" s="470">
        <v>250</v>
      </c>
      <c r="I908" s="470"/>
      <c r="J908" s="470"/>
    </row>
    <row r="909" spans="1:10" s="174" customFormat="1">
      <c r="A909" s="96">
        <v>183</v>
      </c>
      <c r="B909" s="786" t="s">
        <v>2833</v>
      </c>
      <c r="C909" s="761">
        <v>65500134</v>
      </c>
      <c r="D909" s="470">
        <v>1</v>
      </c>
      <c r="E909" s="761" t="s">
        <v>1314</v>
      </c>
      <c r="F909" s="473"/>
      <c r="G909" s="470"/>
      <c r="H909" s="470">
        <v>1</v>
      </c>
      <c r="I909" s="470"/>
      <c r="J909" s="470"/>
    </row>
    <row r="910" spans="1:10" s="174" customFormat="1">
      <c r="A910" s="96">
        <v>184</v>
      </c>
      <c r="B910" s="790" t="s">
        <v>1428</v>
      </c>
      <c r="C910" s="463">
        <v>63400265</v>
      </c>
      <c r="D910" s="470">
        <v>1</v>
      </c>
      <c r="E910" s="761" t="s">
        <v>1314</v>
      </c>
      <c r="F910" s="473"/>
      <c r="G910" s="470"/>
      <c r="H910" s="470"/>
      <c r="I910" s="470">
        <v>1</v>
      </c>
      <c r="J910" s="470"/>
    </row>
    <row r="911" spans="1:10" s="174" customFormat="1">
      <c r="A911" s="96">
        <v>185</v>
      </c>
      <c r="B911" s="786" t="s">
        <v>1428</v>
      </c>
      <c r="C911" s="761">
        <v>63400317</v>
      </c>
      <c r="D911" s="470">
        <v>4</v>
      </c>
      <c r="E911" s="761" t="s">
        <v>1314</v>
      </c>
      <c r="F911" s="473"/>
      <c r="G911" s="470"/>
      <c r="H911" s="470">
        <v>2</v>
      </c>
      <c r="I911" s="470">
        <v>2</v>
      </c>
      <c r="J911" s="470"/>
    </row>
    <row r="912" spans="1:10" s="174" customFormat="1">
      <c r="A912" s="96">
        <v>186</v>
      </c>
      <c r="B912" s="786" t="s">
        <v>2834</v>
      </c>
      <c r="C912" s="761">
        <v>65500157</v>
      </c>
      <c r="D912" s="470">
        <v>20</v>
      </c>
      <c r="E912" s="761" t="s">
        <v>1314</v>
      </c>
      <c r="F912" s="473"/>
      <c r="G912" s="470"/>
      <c r="H912" s="470">
        <v>10</v>
      </c>
      <c r="I912" s="470">
        <v>10</v>
      </c>
      <c r="J912" s="470"/>
    </row>
    <row r="913" spans="1:10" s="174" customFormat="1">
      <c r="A913" s="96">
        <v>187</v>
      </c>
      <c r="B913" s="786" t="s">
        <v>1426</v>
      </c>
      <c r="C913" s="761">
        <v>64100138</v>
      </c>
      <c r="D913" s="470">
        <v>20</v>
      </c>
      <c r="E913" s="761" t="s">
        <v>1314</v>
      </c>
      <c r="F913" s="473"/>
      <c r="G913" s="470"/>
      <c r="H913" s="470">
        <v>10</v>
      </c>
      <c r="I913" s="470">
        <v>10</v>
      </c>
      <c r="J913" s="470"/>
    </row>
    <row r="914" spans="1:10" s="174" customFormat="1">
      <c r="A914" s="96">
        <v>188</v>
      </c>
      <c r="B914" s="786" t="s">
        <v>1429</v>
      </c>
      <c r="C914" s="761">
        <v>63400356</v>
      </c>
      <c r="D914" s="470">
        <v>2</v>
      </c>
      <c r="E914" s="761" t="s">
        <v>1314</v>
      </c>
      <c r="F914" s="473"/>
      <c r="G914" s="470"/>
      <c r="H914" s="470">
        <v>2</v>
      </c>
      <c r="I914" s="470"/>
      <c r="J914" s="470"/>
    </row>
    <row r="915" spans="1:10" s="174" customFormat="1">
      <c r="A915" s="96">
        <v>189</v>
      </c>
      <c r="B915" s="786" t="s">
        <v>1430</v>
      </c>
      <c r="C915" s="761">
        <v>64100186</v>
      </c>
      <c r="D915" s="470">
        <v>6</v>
      </c>
      <c r="E915" s="761" t="s">
        <v>1314</v>
      </c>
      <c r="F915" s="473"/>
      <c r="G915" s="470"/>
      <c r="H915" s="470">
        <v>2</v>
      </c>
      <c r="I915" s="470">
        <v>2</v>
      </c>
      <c r="J915" s="470">
        <v>2</v>
      </c>
    </row>
    <row r="916" spans="1:10" s="174" customFormat="1">
      <c r="A916" s="96">
        <v>190</v>
      </c>
      <c r="B916" s="786" t="s">
        <v>1330</v>
      </c>
      <c r="C916" s="761">
        <v>63200141</v>
      </c>
      <c r="D916" s="470">
        <v>10</v>
      </c>
      <c r="E916" s="761" t="s">
        <v>1314</v>
      </c>
      <c r="F916" s="473"/>
      <c r="G916" s="470"/>
      <c r="H916" s="470">
        <v>6</v>
      </c>
      <c r="I916" s="470">
        <v>4</v>
      </c>
      <c r="J916" s="470"/>
    </row>
    <row r="917" spans="1:10" s="174" customFormat="1">
      <c r="A917" s="96">
        <v>191</v>
      </c>
      <c r="B917" s="786" t="s">
        <v>1431</v>
      </c>
      <c r="C917" s="761">
        <v>63200143</v>
      </c>
      <c r="D917" s="470">
        <v>80</v>
      </c>
      <c r="E917" s="761" t="s">
        <v>1314</v>
      </c>
      <c r="F917" s="761" t="s">
        <v>2004</v>
      </c>
      <c r="G917" s="470"/>
      <c r="H917" s="470">
        <v>40</v>
      </c>
      <c r="I917" s="470">
        <v>40</v>
      </c>
      <c r="J917" s="470"/>
    </row>
    <row r="918" spans="1:10" s="174" customFormat="1">
      <c r="A918" s="96">
        <v>192</v>
      </c>
      <c r="B918" s="786" t="s">
        <v>1413</v>
      </c>
      <c r="C918" s="761">
        <v>63400318</v>
      </c>
      <c r="D918" s="470">
        <v>152</v>
      </c>
      <c r="E918" s="761" t="s">
        <v>1314</v>
      </c>
      <c r="F918" s="473"/>
      <c r="G918" s="470"/>
      <c r="H918" s="470">
        <v>76</v>
      </c>
      <c r="I918" s="470">
        <v>76</v>
      </c>
      <c r="J918" s="470"/>
    </row>
    <row r="919" spans="1:10" s="174" customFormat="1">
      <c r="A919" s="96">
        <v>193</v>
      </c>
      <c r="B919" s="786" t="s">
        <v>1413</v>
      </c>
      <c r="C919" s="761">
        <v>63400319</v>
      </c>
      <c r="D919" s="470">
        <v>76</v>
      </c>
      <c r="E919" s="761" t="s">
        <v>1314</v>
      </c>
      <c r="F919" s="473"/>
      <c r="G919" s="470"/>
      <c r="H919" s="470">
        <v>38</v>
      </c>
      <c r="I919" s="470">
        <v>38</v>
      </c>
      <c r="J919" s="470"/>
    </row>
    <row r="920" spans="1:10" s="174" customFormat="1">
      <c r="A920" s="96">
        <v>194</v>
      </c>
      <c r="B920" s="786" t="s">
        <v>1427</v>
      </c>
      <c r="C920" s="761">
        <v>80200143</v>
      </c>
      <c r="D920" s="470">
        <v>500</v>
      </c>
      <c r="E920" s="761" t="s">
        <v>1314</v>
      </c>
      <c r="F920" s="473"/>
      <c r="G920" s="470"/>
      <c r="H920" s="470">
        <v>250</v>
      </c>
      <c r="I920" s="470">
        <v>250</v>
      </c>
      <c r="J920" s="470"/>
    </row>
    <row r="921" spans="1:10" s="174" customFormat="1">
      <c r="A921" s="96">
        <v>195</v>
      </c>
      <c r="B921" s="786" t="s">
        <v>1432</v>
      </c>
      <c r="C921" s="761">
        <v>63300170</v>
      </c>
      <c r="D921" s="470">
        <v>5</v>
      </c>
      <c r="E921" s="761" t="s">
        <v>1314</v>
      </c>
      <c r="F921" s="473"/>
      <c r="G921" s="470"/>
      <c r="H921" s="470">
        <v>2</v>
      </c>
      <c r="I921" s="470">
        <v>2</v>
      </c>
      <c r="J921" s="470">
        <v>1</v>
      </c>
    </row>
    <row r="922" spans="1:10" s="174" customFormat="1">
      <c r="A922" s="96">
        <v>196</v>
      </c>
      <c r="B922" s="786" t="s">
        <v>1433</v>
      </c>
      <c r="C922" s="761">
        <v>63400254</v>
      </c>
      <c r="D922" s="470">
        <v>10</v>
      </c>
      <c r="E922" s="761" t="s">
        <v>1314</v>
      </c>
      <c r="F922" s="473"/>
      <c r="G922" s="470"/>
      <c r="H922" s="470">
        <v>4</v>
      </c>
      <c r="I922" s="470">
        <v>4</v>
      </c>
      <c r="J922" s="470">
        <v>2</v>
      </c>
    </row>
    <row r="923" spans="1:10" s="174" customFormat="1">
      <c r="A923" s="96">
        <v>197</v>
      </c>
      <c r="B923" s="786" t="s">
        <v>1434</v>
      </c>
      <c r="C923" s="761">
        <v>64200137</v>
      </c>
      <c r="D923" s="470">
        <v>5</v>
      </c>
      <c r="E923" s="761" t="s">
        <v>1314</v>
      </c>
      <c r="F923" s="473"/>
      <c r="G923" s="470"/>
      <c r="H923" s="470">
        <v>5</v>
      </c>
      <c r="I923" s="470"/>
      <c r="J923" s="470"/>
    </row>
    <row r="924" spans="1:10" s="174" customFormat="1">
      <c r="A924" s="96">
        <v>198</v>
      </c>
      <c r="B924" s="786" t="s">
        <v>875</v>
      </c>
      <c r="C924" s="761">
        <v>80100129</v>
      </c>
      <c r="D924" s="470">
        <v>2</v>
      </c>
      <c r="E924" s="761" t="s">
        <v>1314</v>
      </c>
      <c r="F924" s="473"/>
      <c r="G924" s="470"/>
      <c r="H924" s="470">
        <v>1</v>
      </c>
      <c r="I924" s="470">
        <v>1</v>
      </c>
      <c r="J924" s="470"/>
    </row>
    <row r="925" spans="1:10" s="174" customFormat="1">
      <c r="A925" s="96">
        <v>199</v>
      </c>
      <c r="B925" s="786" t="s">
        <v>1435</v>
      </c>
      <c r="C925" s="761">
        <v>64200109</v>
      </c>
      <c r="D925" s="470">
        <v>3</v>
      </c>
      <c r="E925" s="761" t="s">
        <v>1314</v>
      </c>
      <c r="F925" s="473"/>
      <c r="G925" s="470"/>
      <c r="H925" s="470">
        <v>1</v>
      </c>
      <c r="I925" s="470">
        <v>1</v>
      </c>
      <c r="J925" s="470">
        <v>1</v>
      </c>
    </row>
    <row r="926" spans="1:10" s="174" customFormat="1">
      <c r="A926" s="96">
        <v>200</v>
      </c>
      <c r="B926" s="786" t="s">
        <v>1436</v>
      </c>
      <c r="C926" s="761">
        <v>64200108</v>
      </c>
      <c r="D926" s="470">
        <v>1</v>
      </c>
      <c r="E926" s="761" t="s">
        <v>1314</v>
      </c>
      <c r="F926" s="473"/>
      <c r="G926" s="470"/>
      <c r="H926" s="470"/>
      <c r="I926" s="470">
        <v>1</v>
      </c>
      <c r="J926" s="470"/>
    </row>
    <row r="927" spans="1:10" s="174" customFormat="1">
      <c r="A927" s="96">
        <v>201</v>
      </c>
      <c r="B927" s="786" t="s">
        <v>1437</v>
      </c>
      <c r="C927" s="761">
        <v>64200351</v>
      </c>
      <c r="D927" s="470">
        <v>1</v>
      </c>
      <c r="E927" s="761" t="s">
        <v>1314</v>
      </c>
      <c r="F927" s="473"/>
      <c r="G927" s="470"/>
      <c r="H927" s="470"/>
      <c r="I927" s="470">
        <v>1</v>
      </c>
      <c r="J927" s="470"/>
    </row>
    <row r="928" spans="1:10" s="174" customFormat="1">
      <c r="A928" s="96">
        <v>202</v>
      </c>
      <c r="B928" s="786" t="s">
        <v>1438</v>
      </c>
      <c r="C928" s="761">
        <v>64200103</v>
      </c>
      <c r="D928" s="470">
        <v>1</v>
      </c>
      <c r="E928" s="761" t="s">
        <v>1314</v>
      </c>
      <c r="F928" s="473"/>
      <c r="G928" s="470"/>
      <c r="H928" s="470"/>
      <c r="I928" s="470">
        <v>1</v>
      </c>
      <c r="J928" s="470"/>
    </row>
    <row r="929" spans="1:10" s="174" customFormat="1">
      <c r="A929" s="96">
        <v>203</v>
      </c>
      <c r="B929" s="786" t="s">
        <v>965</v>
      </c>
      <c r="C929" s="761">
        <v>64200102</v>
      </c>
      <c r="D929" s="470">
        <v>1</v>
      </c>
      <c r="E929" s="761" t="s">
        <v>1314</v>
      </c>
      <c r="F929" s="473"/>
      <c r="G929" s="470"/>
      <c r="H929" s="470"/>
      <c r="I929" s="470">
        <v>1</v>
      </c>
      <c r="J929" s="470"/>
    </row>
    <row r="930" spans="1:10" s="174" customFormat="1">
      <c r="A930" s="96">
        <v>204</v>
      </c>
      <c r="B930" s="786" t="s">
        <v>1439</v>
      </c>
      <c r="C930" s="761">
        <v>88169106</v>
      </c>
      <c r="D930" s="470">
        <v>76</v>
      </c>
      <c r="E930" s="761" t="s">
        <v>1314</v>
      </c>
      <c r="F930" s="473"/>
      <c r="G930" s="470"/>
      <c r="H930" s="470">
        <v>38</v>
      </c>
      <c r="I930" s="470">
        <v>38</v>
      </c>
      <c r="J930" s="470"/>
    </row>
    <row r="931" spans="1:10" s="174" customFormat="1">
      <c r="A931" s="96">
        <v>205</v>
      </c>
      <c r="B931" s="786" t="s">
        <v>1426</v>
      </c>
      <c r="C931" s="761">
        <v>64200115</v>
      </c>
      <c r="D931" s="470">
        <v>20</v>
      </c>
      <c r="E931" s="761" t="s">
        <v>1314</v>
      </c>
      <c r="F931" s="473"/>
      <c r="G931" s="470"/>
      <c r="H931" s="470">
        <v>10</v>
      </c>
      <c r="I931" s="470">
        <v>10</v>
      </c>
      <c r="J931" s="470"/>
    </row>
    <row r="932" spans="1:10" s="174" customFormat="1">
      <c r="A932" s="96">
        <v>206</v>
      </c>
      <c r="B932" s="786" t="s">
        <v>1440</v>
      </c>
      <c r="C932" s="761">
        <v>63500324</v>
      </c>
      <c r="D932" s="470">
        <v>76</v>
      </c>
      <c r="E932" s="761" t="s">
        <v>1314</v>
      </c>
      <c r="F932" s="473"/>
      <c r="G932" s="470"/>
      <c r="H932" s="470">
        <v>38</v>
      </c>
      <c r="I932" s="470">
        <v>38</v>
      </c>
      <c r="J932" s="470"/>
    </row>
    <row r="933" spans="1:10" s="174" customFormat="1">
      <c r="A933" s="96">
        <v>207</v>
      </c>
      <c r="B933" s="786" t="s">
        <v>1441</v>
      </c>
      <c r="C933" s="761">
        <v>63500225</v>
      </c>
      <c r="D933" s="470">
        <v>100</v>
      </c>
      <c r="E933" s="761" t="s">
        <v>1314</v>
      </c>
      <c r="F933" s="473"/>
      <c r="G933" s="470"/>
      <c r="H933" s="470">
        <v>60</v>
      </c>
      <c r="I933" s="470">
        <v>40</v>
      </c>
      <c r="J933" s="470"/>
    </row>
    <row r="934" spans="1:10" s="174" customFormat="1">
      <c r="A934" s="96">
        <v>208</v>
      </c>
      <c r="B934" s="786" t="s">
        <v>1442</v>
      </c>
      <c r="C934" s="761">
        <v>63100128</v>
      </c>
      <c r="D934" s="470">
        <v>480</v>
      </c>
      <c r="E934" s="761" t="s">
        <v>1314</v>
      </c>
      <c r="F934" s="473"/>
      <c r="G934" s="470"/>
      <c r="H934" s="470">
        <v>320</v>
      </c>
      <c r="I934" s="470">
        <v>160</v>
      </c>
      <c r="J934" s="470"/>
    </row>
    <row r="935" spans="1:10" s="174" customFormat="1">
      <c r="A935" s="96">
        <v>209</v>
      </c>
      <c r="B935" s="786" t="s">
        <v>1329</v>
      </c>
      <c r="C935" s="761">
        <v>63200159</v>
      </c>
      <c r="D935" s="470">
        <v>36</v>
      </c>
      <c r="E935" s="761" t="s">
        <v>1314</v>
      </c>
      <c r="F935" s="473"/>
      <c r="G935" s="470"/>
      <c r="H935" s="470">
        <v>12</v>
      </c>
      <c r="I935" s="470">
        <v>12</v>
      </c>
      <c r="J935" s="470">
        <v>12</v>
      </c>
    </row>
    <row r="936" spans="1:10" s="174" customFormat="1">
      <c r="A936" s="96">
        <v>210</v>
      </c>
      <c r="B936" s="786" t="s">
        <v>1443</v>
      </c>
      <c r="C936" s="761">
        <v>64200123</v>
      </c>
      <c r="D936" s="470">
        <v>5</v>
      </c>
      <c r="E936" s="761" t="s">
        <v>1314</v>
      </c>
      <c r="F936" s="473"/>
      <c r="G936" s="470"/>
      <c r="H936" s="470">
        <v>5</v>
      </c>
      <c r="I936" s="470"/>
      <c r="J936" s="470"/>
    </row>
    <row r="937" spans="1:10" s="174" customFormat="1">
      <c r="A937" s="96">
        <v>211</v>
      </c>
      <c r="B937" s="786" t="s">
        <v>1379</v>
      </c>
      <c r="C937" s="761">
        <v>64200127</v>
      </c>
      <c r="D937" s="470">
        <v>10</v>
      </c>
      <c r="E937" s="761" t="s">
        <v>1314</v>
      </c>
      <c r="F937" s="473"/>
      <c r="G937" s="470"/>
      <c r="H937" s="470">
        <v>6</v>
      </c>
      <c r="I937" s="470">
        <v>4</v>
      </c>
      <c r="J937" s="470"/>
    </row>
    <row r="938" spans="1:10" s="174" customFormat="1">
      <c r="A938" s="96">
        <v>212</v>
      </c>
      <c r="B938" s="786" t="s">
        <v>1380</v>
      </c>
      <c r="C938" s="761">
        <v>63500331</v>
      </c>
      <c r="D938" s="470">
        <v>10</v>
      </c>
      <c r="E938" s="761" t="s">
        <v>1314</v>
      </c>
      <c r="F938" s="473"/>
      <c r="G938" s="470"/>
      <c r="H938" s="470">
        <v>5</v>
      </c>
      <c r="I938" s="470">
        <v>5</v>
      </c>
      <c r="J938" s="470"/>
    </row>
    <row r="939" spans="1:10" s="174" customFormat="1">
      <c r="A939" s="96">
        <v>213</v>
      </c>
      <c r="B939" s="786" t="s">
        <v>1384</v>
      </c>
      <c r="C939" s="761">
        <v>63200155</v>
      </c>
      <c r="D939" s="470">
        <v>10</v>
      </c>
      <c r="E939" s="761" t="s">
        <v>1314</v>
      </c>
      <c r="F939" s="473"/>
      <c r="G939" s="470"/>
      <c r="H939" s="470">
        <v>5</v>
      </c>
      <c r="I939" s="470">
        <v>5</v>
      </c>
      <c r="J939" s="470"/>
    </row>
    <row r="940" spans="1:10" s="174" customFormat="1">
      <c r="A940" s="96">
        <v>214</v>
      </c>
      <c r="B940" s="786" t="s">
        <v>1384</v>
      </c>
      <c r="C940" s="761">
        <v>63200183</v>
      </c>
      <c r="D940" s="470">
        <v>10</v>
      </c>
      <c r="E940" s="761" t="s">
        <v>1314</v>
      </c>
      <c r="F940" s="473"/>
      <c r="G940" s="470"/>
      <c r="H940" s="470">
        <v>5</v>
      </c>
      <c r="I940" s="470">
        <v>5</v>
      </c>
      <c r="J940" s="470"/>
    </row>
    <row r="941" spans="1:10" s="174" customFormat="1">
      <c r="A941" s="96">
        <v>215</v>
      </c>
      <c r="B941" s="786" t="s">
        <v>1444</v>
      </c>
      <c r="C941" s="761">
        <v>63200202</v>
      </c>
      <c r="D941" s="470">
        <v>10</v>
      </c>
      <c r="E941" s="761" t="s">
        <v>1314</v>
      </c>
      <c r="F941" s="473"/>
      <c r="G941" s="470"/>
      <c r="H941" s="470">
        <v>5</v>
      </c>
      <c r="I941" s="470">
        <v>5</v>
      </c>
      <c r="J941" s="470"/>
    </row>
    <row r="942" spans="1:10" s="174" customFormat="1">
      <c r="A942" s="96">
        <v>216</v>
      </c>
      <c r="B942" s="786" t="s">
        <v>1436</v>
      </c>
      <c r="C942" s="761">
        <v>64200293</v>
      </c>
      <c r="D942" s="470">
        <v>3</v>
      </c>
      <c r="E942" s="761" t="s">
        <v>1314</v>
      </c>
      <c r="F942" s="473"/>
      <c r="G942" s="470"/>
      <c r="H942" s="470">
        <v>2</v>
      </c>
      <c r="I942" s="470">
        <v>1</v>
      </c>
      <c r="J942" s="470"/>
    </row>
    <row r="943" spans="1:10" s="174" customFormat="1">
      <c r="A943" s="96">
        <v>217</v>
      </c>
      <c r="B943" s="786" t="s">
        <v>925</v>
      </c>
      <c r="C943" s="761">
        <v>64200143</v>
      </c>
      <c r="D943" s="470">
        <v>3</v>
      </c>
      <c r="E943" s="761" t="s">
        <v>1314</v>
      </c>
      <c r="F943" s="473"/>
      <c r="G943" s="470"/>
      <c r="H943" s="470">
        <v>2</v>
      </c>
      <c r="I943" s="470">
        <v>1</v>
      </c>
      <c r="J943" s="470"/>
    </row>
    <row r="944" spans="1:10" s="174" customFormat="1">
      <c r="A944" s="96">
        <v>218</v>
      </c>
      <c r="B944" s="786" t="s">
        <v>1445</v>
      </c>
      <c r="C944" s="761">
        <v>64200296</v>
      </c>
      <c r="D944" s="470">
        <v>3</v>
      </c>
      <c r="E944" s="761" t="s">
        <v>1314</v>
      </c>
      <c r="F944" s="473"/>
      <c r="G944" s="470"/>
      <c r="H944" s="470">
        <v>2</v>
      </c>
      <c r="I944" s="470">
        <v>1</v>
      </c>
      <c r="J944" s="470"/>
    </row>
    <row r="945" spans="1:10" s="174" customFormat="1">
      <c r="A945" s="96">
        <v>219</v>
      </c>
      <c r="B945" s="786" t="s">
        <v>1436</v>
      </c>
      <c r="C945" s="761">
        <v>64200294</v>
      </c>
      <c r="D945" s="470">
        <v>1</v>
      </c>
      <c r="E945" s="761" t="s">
        <v>1314</v>
      </c>
      <c r="F945" s="473"/>
      <c r="G945" s="470"/>
      <c r="H945" s="470">
        <v>1</v>
      </c>
      <c r="I945" s="470"/>
      <c r="J945" s="470"/>
    </row>
    <row r="946" spans="1:10" s="174" customFormat="1">
      <c r="A946" s="96">
        <v>220</v>
      </c>
      <c r="B946" s="786" t="s">
        <v>1436</v>
      </c>
      <c r="C946" s="761">
        <v>64200295</v>
      </c>
      <c r="D946" s="470">
        <v>3</v>
      </c>
      <c r="E946" s="761" t="s">
        <v>1314</v>
      </c>
      <c r="F946" s="473"/>
      <c r="G946" s="470"/>
      <c r="H946" s="470">
        <v>2</v>
      </c>
      <c r="I946" s="470">
        <v>1</v>
      </c>
      <c r="J946" s="470"/>
    </row>
    <row r="947" spans="1:10" s="174" customFormat="1">
      <c r="A947" s="96">
        <v>221</v>
      </c>
      <c r="B947" s="786" t="s">
        <v>1446</v>
      </c>
      <c r="C947" s="761">
        <v>64200118</v>
      </c>
      <c r="D947" s="470">
        <v>3</v>
      </c>
      <c r="E947" s="761" t="s">
        <v>1314</v>
      </c>
      <c r="F947" s="473"/>
      <c r="G947" s="470"/>
      <c r="H947" s="470">
        <v>2</v>
      </c>
      <c r="I947" s="470">
        <v>1</v>
      </c>
      <c r="J947" s="470"/>
    </row>
    <row r="948" spans="1:10" s="174" customFormat="1">
      <c r="A948" s="96">
        <v>222</v>
      </c>
      <c r="B948" s="786" t="s">
        <v>1447</v>
      </c>
      <c r="C948" s="761">
        <v>63500108</v>
      </c>
      <c r="D948" s="470">
        <v>10</v>
      </c>
      <c r="E948" s="761" t="s">
        <v>1314</v>
      </c>
      <c r="F948" s="473"/>
      <c r="G948" s="470"/>
      <c r="H948" s="470">
        <v>5</v>
      </c>
      <c r="I948" s="470">
        <v>5</v>
      </c>
      <c r="J948" s="470"/>
    </row>
    <row r="949" spans="1:10" s="174" customFormat="1">
      <c r="A949" s="96">
        <v>223</v>
      </c>
      <c r="B949" s="786" t="s">
        <v>1448</v>
      </c>
      <c r="C949" s="761">
        <v>63500109</v>
      </c>
      <c r="D949" s="470">
        <v>10</v>
      </c>
      <c r="E949" s="761" t="s">
        <v>1314</v>
      </c>
      <c r="F949" s="473"/>
      <c r="G949" s="470"/>
      <c r="H949" s="470">
        <v>5</v>
      </c>
      <c r="I949" s="470">
        <v>5</v>
      </c>
      <c r="J949" s="470"/>
    </row>
    <row r="950" spans="1:10" s="174" customFormat="1">
      <c r="A950" s="96">
        <v>224</v>
      </c>
      <c r="B950" s="786" t="s">
        <v>1449</v>
      </c>
      <c r="C950" s="761">
        <v>63300108</v>
      </c>
      <c r="D950" s="470">
        <v>5</v>
      </c>
      <c r="E950" s="761" t="s">
        <v>1314</v>
      </c>
      <c r="F950" s="473"/>
      <c r="G950" s="470"/>
      <c r="H950" s="470">
        <v>3</v>
      </c>
      <c r="I950" s="470">
        <v>2</v>
      </c>
      <c r="J950" s="470"/>
    </row>
    <row r="951" spans="1:10" s="174" customFormat="1">
      <c r="A951" s="96">
        <v>225</v>
      </c>
      <c r="B951" s="786" t="s">
        <v>1450</v>
      </c>
      <c r="C951" s="761">
        <v>63300112</v>
      </c>
      <c r="D951" s="470">
        <v>10</v>
      </c>
      <c r="E951" s="761" t="s">
        <v>1314</v>
      </c>
      <c r="F951" s="473"/>
      <c r="G951" s="470"/>
      <c r="H951" s="470">
        <v>5</v>
      </c>
      <c r="I951" s="470">
        <v>5</v>
      </c>
      <c r="J951" s="470"/>
    </row>
    <row r="952" spans="1:10" s="174" customFormat="1">
      <c r="A952" s="96">
        <v>226</v>
      </c>
      <c r="B952" s="786" t="s">
        <v>1451</v>
      </c>
      <c r="C952" s="761">
        <v>63300100</v>
      </c>
      <c r="D952" s="470">
        <v>15</v>
      </c>
      <c r="E952" s="761" t="s">
        <v>1314</v>
      </c>
      <c r="F952" s="473"/>
      <c r="G952" s="470"/>
      <c r="H952" s="470">
        <v>5</v>
      </c>
      <c r="I952" s="470">
        <v>5</v>
      </c>
      <c r="J952" s="470">
        <v>5</v>
      </c>
    </row>
    <row r="953" spans="1:10" s="174" customFormat="1">
      <c r="A953" s="96">
        <v>227</v>
      </c>
      <c r="B953" s="786" t="s">
        <v>1451</v>
      </c>
      <c r="C953" s="761">
        <v>63300101</v>
      </c>
      <c r="D953" s="470">
        <v>10</v>
      </c>
      <c r="E953" s="761" t="s">
        <v>1314</v>
      </c>
      <c r="F953" s="761" t="s">
        <v>1998</v>
      </c>
      <c r="G953" s="470"/>
      <c r="H953" s="470">
        <v>5</v>
      </c>
      <c r="I953" s="470">
        <v>5</v>
      </c>
      <c r="J953" s="470"/>
    </row>
    <row r="954" spans="1:10" s="174" customFormat="1">
      <c r="A954" s="96">
        <v>228</v>
      </c>
      <c r="B954" s="786" t="s">
        <v>1452</v>
      </c>
      <c r="C954" s="761">
        <v>63300107</v>
      </c>
      <c r="D954" s="470">
        <v>5</v>
      </c>
      <c r="E954" s="761" t="s">
        <v>1314</v>
      </c>
      <c r="F954" s="473"/>
      <c r="G954" s="470"/>
      <c r="H954" s="470">
        <v>5</v>
      </c>
      <c r="I954" s="470"/>
      <c r="J954" s="470"/>
    </row>
    <row r="955" spans="1:10" s="174" customFormat="1">
      <c r="A955" s="96">
        <v>229</v>
      </c>
      <c r="B955" s="786" t="s">
        <v>1452</v>
      </c>
      <c r="C955" s="761">
        <v>63300120</v>
      </c>
      <c r="D955" s="470">
        <v>5</v>
      </c>
      <c r="E955" s="761" t="s">
        <v>1314</v>
      </c>
      <c r="F955" s="473"/>
      <c r="G955" s="470"/>
      <c r="H955" s="470">
        <v>5</v>
      </c>
      <c r="I955" s="470"/>
      <c r="J955" s="470"/>
    </row>
    <row r="956" spans="1:10" s="174" customFormat="1">
      <c r="A956" s="96">
        <v>230</v>
      </c>
      <c r="B956" s="786" t="s">
        <v>1453</v>
      </c>
      <c r="C956" s="761">
        <v>63300114</v>
      </c>
      <c r="D956" s="470">
        <v>5</v>
      </c>
      <c r="E956" s="761" t="s">
        <v>1314</v>
      </c>
      <c r="F956" s="473"/>
      <c r="G956" s="470"/>
      <c r="H956" s="470">
        <v>5</v>
      </c>
      <c r="I956" s="470"/>
      <c r="J956" s="470"/>
    </row>
    <row r="957" spans="1:10" s="174" customFormat="1">
      <c r="A957" s="96">
        <v>231</v>
      </c>
      <c r="B957" s="786" t="s">
        <v>1394</v>
      </c>
      <c r="C957" s="761">
        <v>63300121</v>
      </c>
      <c r="D957" s="470">
        <v>5</v>
      </c>
      <c r="E957" s="761" t="s">
        <v>1314</v>
      </c>
      <c r="F957" s="473"/>
      <c r="G957" s="470"/>
      <c r="H957" s="470">
        <v>5</v>
      </c>
      <c r="I957" s="470"/>
      <c r="J957" s="470"/>
    </row>
    <row r="958" spans="1:10" s="174" customFormat="1">
      <c r="A958" s="96">
        <v>232</v>
      </c>
      <c r="B958" s="786" t="s">
        <v>1454</v>
      </c>
      <c r="C958" s="761">
        <v>63300115</v>
      </c>
      <c r="D958" s="470">
        <v>5</v>
      </c>
      <c r="E958" s="761" t="s">
        <v>1314</v>
      </c>
      <c r="F958" s="473"/>
      <c r="G958" s="470"/>
      <c r="H958" s="470">
        <v>5</v>
      </c>
      <c r="I958" s="470"/>
      <c r="J958" s="470"/>
    </row>
    <row r="959" spans="1:10" s="174" customFormat="1">
      <c r="A959" s="96">
        <v>233</v>
      </c>
      <c r="B959" s="786" t="s">
        <v>1453</v>
      </c>
      <c r="C959" s="761">
        <v>63300113</v>
      </c>
      <c r="D959" s="470">
        <v>10</v>
      </c>
      <c r="E959" s="761" t="s">
        <v>1314</v>
      </c>
      <c r="F959" s="761" t="s">
        <v>1994</v>
      </c>
      <c r="G959" s="470"/>
      <c r="H959" s="470">
        <v>5</v>
      </c>
      <c r="I959" s="470">
        <v>5</v>
      </c>
      <c r="J959" s="470"/>
    </row>
    <row r="960" spans="1:10" s="174" customFormat="1">
      <c r="A960" s="96">
        <v>234</v>
      </c>
      <c r="B960" s="786" t="s">
        <v>1394</v>
      </c>
      <c r="C960" s="761">
        <v>63300126</v>
      </c>
      <c r="D960" s="470">
        <v>2</v>
      </c>
      <c r="E960" s="761" t="s">
        <v>1314</v>
      </c>
      <c r="F960" s="473"/>
      <c r="G960" s="470"/>
      <c r="H960" s="470">
        <v>2</v>
      </c>
      <c r="I960" s="470"/>
      <c r="J960" s="470"/>
    </row>
    <row r="961" spans="1:10" s="174" customFormat="1">
      <c r="A961" s="96">
        <v>235</v>
      </c>
      <c r="B961" s="786" t="s">
        <v>1394</v>
      </c>
      <c r="C961" s="761">
        <v>63300105</v>
      </c>
      <c r="D961" s="470">
        <v>2</v>
      </c>
      <c r="E961" s="761" t="s">
        <v>1314</v>
      </c>
      <c r="F961" s="473"/>
      <c r="G961" s="470"/>
      <c r="H961" s="470">
        <v>2</v>
      </c>
      <c r="I961" s="470"/>
      <c r="J961" s="470"/>
    </row>
    <row r="962" spans="1:10" s="174" customFormat="1">
      <c r="A962" s="96">
        <v>236</v>
      </c>
      <c r="B962" s="786" t="s">
        <v>1394</v>
      </c>
      <c r="C962" s="761">
        <v>63300116</v>
      </c>
      <c r="D962" s="470">
        <v>2</v>
      </c>
      <c r="E962" s="761" t="s">
        <v>1314</v>
      </c>
      <c r="F962" s="473"/>
      <c r="G962" s="470"/>
      <c r="H962" s="470">
        <v>2</v>
      </c>
      <c r="I962" s="470"/>
      <c r="J962" s="470"/>
    </row>
    <row r="963" spans="1:10" s="174" customFormat="1">
      <c r="A963" s="96">
        <v>237</v>
      </c>
      <c r="B963" s="786" t="s">
        <v>1455</v>
      </c>
      <c r="C963" s="761">
        <v>63300292</v>
      </c>
      <c r="D963" s="470">
        <v>2</v>
      </c>
      <c r="E963" s="761" t="s">
        <v>1314</v>
      </c>
      <c r="F963" s="473"/>
      <c r="G963" s="470"/>
      <c r="H963" s="470">
        <v>2</v>
      </c>
      <c r="I963" s="470"/>
      <c r="J963" s="470"/>
    </row>
    <row r="964" spans="1:10" s="174" customFormat="1">
      <c r="A964" s="96">
        <v>238</v>
      </c>
      <c r="B964" s="786" t="s">
        <v>1456</v>
      </c>
      <c r="C964" s="761">
        <v>63300291</v>
      </c>
      <c r="D964" s="470">
        <v>4</v>
      </c>
      <c r="E964" s="761" t="s">
        <v>1314</v>
      </c>
      <c r="F964" s="473"/>
      <c r="G964" s="470"/>
      <c r="H964" s="470">
        <v>2</v>
      </c>
      <c r="I964" s="470">
        <v>2</v>
      </c>
      <c r="J964" s="470"/>
    </row>
    <row r="965" spans="1:10" s="174" customFormat="1">
      <c r="A965" s="96">
        <v>239</v>
      </c>
      <c r="B965" s="786" t="s">
        <v>1457</v>
      </c>
      <c r="C965" s="761">
        <v>63300290</v>
      </c>
      <c r="D965" s="470">
        <v>2</v>
      </c>
      <c r="E965" s="761" t="s">
        <v>1314</v>
      </c>
      <c r="F965" s="473"/>
      <c r="G965" s="470"/>
      <c r="H965" s="470">
        <v>2</v>
      </c>
      <c r="I965" s="470"/>
      <c r="J965" s="470"/>
    </row>
    <row r="966" spans="1:10" s="174" customFormat="1">
      <c r="A966" s="96">
        <v>240</v>
      </c>
      <c r="B966" s="786" t="s">
        <v>1458</v>
      </c>
      <c r="C966" s="761">
        <v>63300234</v>
      </c>
      <c r="D966" s="470">
        <v>2</v>
      </c>
      <c r="E966" s="761" t="s">
        <v>1314</v>
      </c>
      <c r="F966" s="473"/>
      <c r="G966" s="470"/>
      <c r="H966" s="470">
        <v>1</v>
      </c>
      <c r="I966" s="470">
        <v>1</v>
      </c>
      <c r="J966" s="470"/>
    </row>
    <row r="967" spans="1:10" s="174" customFormat="1">
      <c r="A967" s="96">
        <v>241</v>
      </c>
      <c r="B967" s="786" t="s">
        <v>1325</v>
      </c>
      <c r="C967" s="761">
        <v>80801085</v>
      </c>
      <c r="D967" s="470">
        <v>2</v>
      </c>
      <c r="E967" s="761" t="s">
        <v>1314</v>
      </c>
      <c r="F967" s="473"/>
      <c r="G967" s="470"/>
      <c r="H967" s="470">
        <v>1</v>
      </c>
      <c r="I967" s="470">
        <v>1</v>
      </c>
      <c r="J967" s="470"/>
    </row>
    <row r="968" spans="1:10" s="174" customFormat="1">
      <c r="A968" s="96">
        <v>242</v>
      </c>
      <c r="B968" s="787" t="s">
        <v>1459</v>
      </c>
      <c r="C968" s="761">
        <v>80801084</v>
      </c>
      <c r="D968" s="470">
        <v>10</v>
      </c>
      <c r="E968" s="761" t="s">
        <v>1314</v>
      </c>
      <c r="F968" s="473"/>
      <c r="G968" s="470"/>
      <c r="H968" s="470">
        <v>5</v>
      </c>
      <c r="I968" s="470">
        <v>5</v>
      </c>
      <c r="J968" s="470"/>
    </row>
    <row r="969" spans="1:10" s="174" customFormat="1">
      <c r="A969" s="96">
        <v>243</v>
      </c>
      <c r="B969" s="787" t="s">
        <v>1460</v>
      </c>
      <c r="C969" s="761">
        <v>64000101</v>
      </c>
      <c r="D969" s="470">
        <v>10</v>
      </c>
      <c r="E969" s="761" t="s">
        <v>1314</v>
      </c>
      <c r="F969" s="761" t="s">
        <v>1991</v>
      </c>
      <c r="G969" s="470"/>
      <c r="H969" s="470">
        <v>5</v>
      </c>
      <c r="I969" s="470">
        <v>5</v>
      </c>
      <c r="J969" s="470"/>
    </row>
    <row r="970" spans="1:10" s="174" customFormat="1">
      <c r="A970" s="96">
        <v>244</v>
      </c>
      <c r="B970" s="787" t="s">
        <v>1461</v>
      </c>
      <c r="C970" s="761">
        <v>64000113</v>
      </c>
      <c r="D970" s="470">
        <v>5</v>
      </c>
      <c r="E970" s="761" t="s">
        <v>1314</v>
      </c>
      <c r="F970" s="473"/>
      <c r="G970" s="470"/>
      <c r="H970" s="470"/>
      <c r="I970" s="470">
        <v>5</v>
      </c>
      <c r="J970" s="470"/>
    </row>
    <row r="971" spans="1:10" s="174" customFormat="1">
      <c r="A971" s="96">
        <v>245</v>
      </c>
      <c r="B971" s="787" t="s">
        <v>1462</v>
      </c>
      <c r="C971" s="465">
        <v>63500259</v>
      </c>
      <c r="D971" s="470">
        <v>2</v>
      </c>
      <c r="E971" s="761" t="s">
        <v>1314</v>
      </c>
      <c r="F971" s="473"/>
      <c r="G971" s="470"/>
      <c r="H971" s="470">
        <v>2</v>
      </c>
      <c r="I971" s="470"/>
      <c r="J971" s="470"/>
    </row>
    <row r="972" spans="1:10" s="174" customFormat="1">
      <c r="A972" s="96">
        <v>246</v>
      </c>
      <c r="B972" s="787" t="s">
        <v>1463</v>
      </c>
      <c r="C972" s="761">
        <v>63500260</v>
      </c>
      <c r="D972" s="470">
        <v>40</v>
      </c>
      <c r="E972" s="761" t="s">
        <v>1314</v>
      </c>
      <c r="F972" s="473"/>
      <c r="G972" s="470"/>
      <c r="H972" s="470">
        <v>20</v>
      </c>
      <c r="I972" s="470">
        <v>20</v>
      </c>
      <c r="J972" s="470"/>
    </row>
    <row r="973" spans="1:10" s="174" customFormat="1">
      <c r="A973" s="96">
        <v>247</v>
      </c>
      <c r="B973" s="787" t="s">
        <v>1464</v>
      </c>
      <c r="C973" s="761">
        <v>63500261</v>
      </c>
      <c r="D973" s="470">
        <v>40</v>
      </c>
      <c r="E973" s="761" t="s">
        <v>1314</v>
      </c>
      <c r="F973" s="473"/>
      <c r="G973" s="470"/>
      <c r="H973" s="470">
        <v>20</v>
      </c>
      <c r="I973" s="470">
        <v>20</v>
      </c>
      <c r="J973" s="470"/>
    </row>
    <row r="974" spans="1:10" s="174" customFormat="1">
      <c r="A974" s="96">
        <v>248</v>
      </c>
      <c r="B974" s="787" t="s">
        <v>1465</v>
      </c>
      <c r="C974" s="761">
        <v>63500300</v>
      </c>
      <c r="D974" s="470">
        <v>2</v>
      </c>
      <c r="E974" s="761" t="s">
        <v>1314</v>
      </c>
      <c r="F974" s="473"/>
      <c r="G974" s="470"/>
      <c r="H974" s="470">
        <v>2</v>
      </c>
      <c r="I974" s="470"/>
      <c r="J974" s="470"/>
    </row>
    <row r="975" spans="1:10" s="174" customFormat="1">
      <c r="A975" s="96">
        <v>249</v>
      </c>
      <c r="B975" s="787" t="s">
        <v>1466</v>
      </c>
      <c r="C975" s="761">
        <v>63500301</v>
      </c>
      <c r="D975" s="470">
        <v>20</v>
      </c>
      <c r="E975" s="761" t="s">
        <v>1314</v>
      </c>
      <c r="F975" s="473"/>
      <c r="G975" s="470"/>
      <c r="H975" s="470">
        <v>10</v>
      </c>
      <c r="I975" s="470">
        <v>10</v>
      </c>
      <c r="J975" s="470"/>
    </row>
    <row r="976" spans="1:10" s="174" customFormat="1">
      <c r="A976" s="96">
        <v>250</v>
      </c>
      <c r="B976" s="787" t="s">
        <v>1467</v>
      </c>
      <c r="C976" s="761">
        <v>63500304</v>
      </c>
      <c r="D976" s="470">
        <v>10</v>
      </c>
      <c r="E976" s="761" t="s">
        <v>1314</v>
      </c>
      <c r="F976" s="473"/>
      <c r="G976" s="470"/>
      <c r="H976" s="470">
        <v>5</v>
      </c>
      <c r="I976" s="470">
        <v>5</v>
      </c>
      <c r="J976" s="470"/>
    </row>
    <row r="977" spans="1:10" s="174" customFormat="1">
      <c r="A977" s="96">
        <v>251</v>
      </c>
      <c r="B977" s="787" t="s">
        <v>1468</v>
      </c>
      <c r="C977" s="761">
        <v>63500214</v>
      </c>
      <c r="D977" s="470">
        <v>2</v>
      </c>
      <c r="E977" s="761" t="s">
        <v>1314</v>
      </c>
      <c r="F977" s="473"/>
      <c r="G977" s="470"/>
      <c r="H977" s="470">
        <v>2</v>
      </c>
      <c r="I977" s="470"/>
      <c r="J977" s="470"/>
    </row>
    <row r="978" spans="1:10" s="174" customFormat="1">
      <c r="A978" s="96">
        <v>252</v>
      </c>
      <c r="B978" s="787" t="s">
        <v>1469</v>
      </c>
      <c r="C978" s="761">
        <v>63500215</v>
      </c>
      <c r="D978" s="470">
        <v>20</v>
      </c>
      <c r="E978" s="761" t="s">
        <v>1314</v>
      </c>
      <c r="F978" s="473"/>
      <c r="G978" s="470"/>
      <c r="H978" s="470">
        <v>10</v>
      </c>
      <c r="I978" s="470">
        <v>10</v>
      </c>
      <c r="J978" s="470"/>
    </row>
    <row r="979" spans="1:10" s="174" customFormat="1">
      <c r="A979" s="96">
        <v>253</v>
      </c>
      <c r="B979" s="787" t="s">
        <v>1470</v>
      </c>
      <c r="C979" s="761">
        <v>63500216</v>
      </c>
      <c r="D979" s="470">
        <v>10</v>
      </c>
      <c r="E979" s="761" t="s">
        <v>1314</v>
      </c>
      <c r="F979" s="473"/>
      <c r="G979" s="470"/>
      <c r="H979" s="470">
        <v>5</v>
      </c>
      <c r="I979" s="470">
        <v>5</v>
      </c>
      <c r="J979" s="470"/>
    </row>
    <row r="980" spans="1:10" s="174" customFormat="1">
      <c r="A980" s="96">
        <v>254</v>
      </c>
      <c r="B980" s="787" t="s">
        <v>1471</v>
      </c>
      <c r="C980" s="761">
        <v>63500307</v>
      </c>
      <c r="D980" s="470">
        <v>2</v>
      </c>
      <c r="E980" s="761" t="s">
        <v>1314</v>
      </c>
      <c r="F980" s="473"/>
      <c r="G980" s="470"/>
      <c r="H980" s="470">
        <v>2</v>
      </c>
      <c r="I980" s="470"/>
      <c r="J980" s="470"/>
    </row>
    <row r="981" spans="1:10" s="174" customFormat="1">
      <c r="A981" s="96">
        <v>255</v>
      </c>
      <c r="B981" s="787" t="s">
        <v>1472</v>
      </c>
      <c r="C981" s="761">
        <v>63500302</v>
      </c>
      <c r="D981" s="470">
        <v>38</v>
      </c>
      <c r="E981" s="761" t="s">
        <v>1314</v>
      </c>
      <c r="F981" s="473"/>
      <c r="G981" s="470"/>
      <c r="H981" s="470">
        <v>19</v>
      </c>
      <c r="I981" s="470">
        <v>19</v>
      </c>
      <c r="J981" s="470"/>
    </row>
    <row r="982" spans="1:10" s="174" customFormat="1">
      <c r="A982" s="96">
        <v>256</v>
      </c>
      <c r="B982" s="787" t="s">
        <v>1473</v>
      </c>
      <c r="C982" s="761">
        <v>63500303</v>
      </c>
      <c r="D982" s="470">
        <v>38</v>
      </c>
      <c r="E982" s="761" t="s">
        <v>1314</v>
      </c>
      <c r="F982" s="473"/>
      <c r="G982" s="470"/>
      <c r="H982" s="470">
        <v>19</v>
      </c>
      <c r="I982" s="470">
        <v>19</v>
      </c>
      <c r="J982" s="470"/>
    </row>
    <row r="983" spans="1:10" s="174" customFormat="1">
      <c r="A983" s="96">
        <v>257</v>
      </c>
      <c r="B983" s="786" t="s">
        <v>1474</v>
      </c>
      <c r="C983" s="761">
        <v>64000114</v>
      </c>
      <c r="D983" s="470">
        <v>40</v>
      </c>
      <c r="E983" s="761" t="s">
        <v>1314</v>
      </c>
      <c r="F983" s="473"/>
      <c r="G983" s="470"/>
      <c r="H983" s="470">
        <v>20</v>
      </c>
      <c r="I983" s="470">
        <v>20</v>
      </c>
      <c r="J983" s="470"/>
    </row>
    <row r="984" spans="1:10" s="174" customFormat="1">
      <c r="A984" s="96">
        <v>258</v>
      </c>
      <c r="B984" s="786" t="s">
        <v>1474</v>
      </c>
      <c r="C984" s="761">
        <v>64000108</v>
      </c>
      <c r="D984" s="470">
        <v>40</v>
      </c>
      <c r="E984" s="761" t="s">
        <v>1314</v>
      </c>
      <c r="F984" s="473"/>
      <c r="G984" s="470"/>
      <c r="H984" s="470">
        <v>20</v>
      </c>
      <c r="I984" s="470">
        <v>20</v>
      </c>
      <c r="J984" s="470"/>
    </row>
    <row r="985" spans="1:10" s="174" customFormat="1">
      <c r="A985" s="96">
        <v>259</v>
      </c>
      <c r="B985" s="786" t="s">
        <v>1475</v>
      </c>
      <c r="C985" s="761">
        <v>64000102</v>
      </c>
      <c r="D985" s="470">
        <v>10</v>
      </c>
      <c r="E985" s="761" t="s">
        <v>1314</v>
      </c>
      <c r="F985" s="473"/>
      <c r="G985" s="470"/>
      <c r="H985" s="470">
        <v>5</v>
      </c>
      <c r="I985" s="470">
        <v>5</v>
      </c>
      <c r="J985" s="470"/>
    </row>
    <row r="986" spans="1:10" s="174" customFormat="1">
      <c r="A986" s="96">
        <v>260</v>
      </c>
      <c r="B986" s="786" t="s">
        <v>1476</v>
      </c>
      <c r="C986" s="465">
        <v>63400136</v>
      </c>
      <c r="D986" s="470">
        <v>80</v>
      </c>
      <c r="E986" s="761" t="s">
        <v>1314</v>
      </c>
      <c r="F986" s="473"/>
      <c r="G986" s="470"/>
      <c r="H986" s="470">
        <v>80</v>
      </c>
      <c r="I986" s="470"/>
      <c r="J986" s="470"/>
    </row>
    <row r="987" spans="1:10" s="174" customFormat="1">
      <c r="A987" s="96">
        <v>261</v>
      </c>
      <c r="B987" s="786" t="s">
        <v>867</v>
      </c>
      <c r="C987" s="465">
        <v>63400124</v>
      </c>
      <c r="D987" s="470">
        <v>80</v>
      </c>
      <c r="E987" s="761" t="s">
        <v>1314</v>
      </c>
      <c r="F987" s="473"/>
      <c r="G987" s="470"/>
      <c r="H987" s="470">
        <v>80</v>
      </c>
      <c r="I987" s="470"/>
      <c r="J987" s="470"/>
    </row>
    <row r="988" spans="1:10" s="174" customFormat="1">
      <c r="A988" s="96">
        <v>262</v>
      </c>
      <c r="B988" s="786" t="s">
        <v>1359</v>
      </c>
      <c r="C988" s="465">
        <v>63400138</v>
      </c>
      <c r="D988" s="470">
        <v>60</v>
      </c>
      <c r="E988" s="761" t="s">
        <v>1314</v>
      </c>
      <c r="F988" s="473"/>
      <c r="G988" s="470"/>
      <c r="H988" s="470">
        <v>30</v>
      </c>
      <c r="I988" s="470">
        <v>30</v>
      </c>
      <c r="J988" s="470"/>
    </row>
    <row r="989" spans="1:10" s="174" customFormat="1">
      <c r="A989" s="96">
        <v>263</v>
      </c>
      <c r="B989" s="786" t="s">
        <v>1359</v>
      </c>
      <c r="C989" s="465">
        <v>63400139</v>
      </c>
      <c r="D989" s="470">
        <v>20</v>
      </c>
      <c r="E989" s="761" t="s">
        <v>1314</v>
      </c>
      <c r="F989" s="473"/>
      <c r="G989" s="470"/>
      <c r="H989" s="470">
        <v>20</v>
      </c>
      <c r="I989" s="470"/>
      <c r="J989" s="470"/>
    </row>
    <row r="990" spans="1:10" s="174" customFormat="1">
      <c r="A990" s="96">
        <v>264</v>
      </c>
      <c r="B990" s="786" t="s">
        <v>1359</v>
      </c>
      <c r="C990" s="465">
        <v>63400140</v>
      </c>
      <c r="D990" s="470">
        <v>20</v>
      </c>
      <c r="E990" s="761" t="s">
        <v>1314</v>
      </c>
      <c r="F990" s="473"/>
      <c r="G990" s="470"/>
      <c r="H990" s="470">
        <v>20</v>
      </c>
      <c r="I990" s="470"/>
      <c r="J990" s="470"/>
    </row>
    <row r="991" spans="1:10" s="174" customFormat="1">
      <c r="A991" s="96">
        <v>265</v>
      </c>
      <c r="B991" s="786" t="s">
        <v>1410</v>
      </c>
      <c r="C991" s="465">
        <v>65100185</v>
      </c>
      <c r="D991" s="470">
        <v>3</v>
      </c>
      <c r="E991" s="761" t="s">
        <v>1314</v>
      </c>
      <c r="F991" s="473"/>
      <c r="G991" s="470"/>
      <c r="H991" s="470">
        <v>2</v>
      </c>
      <c r="I991" s="470">
        <v>1</v>
      </c>
      <c r="J991" s="470"/>
    </row>
    <row r="992" spans="1:10" s="174" customFormat="1">
      <c r="A992" s="96">
        <v>266</v>
      </c>
      <c r="B992" s="786" t="s">
        <v>1477</v>
      </c>
      <c r="C992" s="465">
        <v>88169108</v>
      </c>
      <c r="D992" s="470">
        <v>10</v>
      </c>
      <c r="E992" s="761" t="s">
        <v>1314</v>
      </c>
      <c r="F992" s="473"/>
      <c r="G992" s="470"/>
      <c r="H992" s="470">
        <v>10</v>
      </c>
      <c r="I992" s="470"/>
      <c r="J992" s="470"/>
    </row>
    <row r="993" spans="1:10" s="174" customFormat="1">
      <c r="A993" s="96">
        <v>267</v>
      </c>
      <c r="B993" s="786" t="s">
        <v>1359</v>
      </c>
      <c r="C993" s="465">
        <v>63400141</v>
      </c>
      <c r="D993" s="470">
        <v>10</v>
      </c>
      <c r="E993" s="761" t="s">
        <v>1314</v>
      </c>
      <c r="F993" s="473"/>
      <c r="G993" s="470"/>
      <c r="H993" s="470">
        <v>10</v>
      </c>
      <c r="I993" s="470"/>
      <c r="J993" s="470"/>
    </row>
    <row r="994" spans="1:10" s="174" customFormat="1">
      <c r="A994" s="96">
        <v>268</v>
      </c>
      <c r="B994" s="786" t="s">
        <v>1478</v>
      </c>
      <c r="C994" s="465">
        <v>64200110</v>
      </c>
      <c r="D994" s="470">
        <v>5</v>
      </c>
      <c r="E994" s="761" t="s">
        <v>1314</v>
      </c>
      <c r="F994" s="473"/>
      <c r="G994" s="470"/>
      <c r="H994" s="470">
        <v>5</v>
      </c>
      <c r="I994" s="470"/>
      <c r="J994" s="470"/>
    </row>
    <row r="995" spans="1:10" s="174" customFormat="1">
      <c r="A995" s="96">
        <v>269</v>
      </c>
      <c r="B995" s="786" t="s">
        <v>968</v>
      </c>
      <c r="C995" s="465">
        <v>80300117</v>
      </c>
      <c r="D995" s="470">
        <v>5</v>
      </c>
      <c r="E995" s="761" t="s">
        <v>1314</v>
      </c>
      <c r="F995" s="473"/>
      <c r="G995" s="470"/>
      <c r="H995" s="470">
        <v>5</v>
      </c>
      <c r="I995" s="470"/>
      <c r="J995" s="470"/>
    </row>
    <row r="996" spans="1:10" s="174" customFormat="1">
      <c r="A996" s="96">
        <v>270</v>
      </c>
      <c r="B996" s="786" t="s">
        <v>1479</v>
      </c>
      <c r="C996" s="465">
        <v>80801096</v>
      </c>
      <c r="D996" s="470">
        <v>3</v>
      </c>
      <c r="E996" s="761" t="s">
        <v>1314</v>
      </c>
      <c r="F996" s="473"/>
      <c r="G996" s="470"/>
      <c r="H996" s="470">
        <v>1</v>
      </c>
      <c r="I996" s="470">
        <v>1</v>
      </c>
      <c r="J996" s="470">
        <v>1</v>
      </c>
    </row>
    <row r="997" spans="1:10" s="174" customFormat="1">
      <c r="A997" s="96">
        <v>271</v>
      </c>
      <c r="B997" s="786" t="s">
        <v>1441</v>
      </c>
      <c r="C997" s="465">
        <v>64200127</v>
      </c>
      <c r="D997" s="470">
        <v>10</v>
      </c>
      <c r="E997" s="761" t="s">
        <v>1314</v>
      </c>
      <c r="F997" s="473"/>
      <c r="G997" s="470"/>
      <c r="H997" s="470">
        <v>6</v>
      </c>
      <c r="I997" s="470">
        <v>4</v>
      </c>
      <c r="J997" s="470"/>
    </row>
    <row r="998" spans="1:10" s="174" customFormat="1">
      <c r="A998" s="96">
        <v>272</v>
      </c>
      <c r="B998" s="786" t="s">
        <v>1394</v>
      </c>
      <c r="C998" s="465">
        <v>63300119</v>
      </c>
      <c r="D998" s="470">
        <v>5</v>
      </c>
      <c r="E998" s="761" t="s">
        <v>1314</v>
      </c>
      <c r="F998" s="473"/>
      <c r="G998" s="470"/>
      <c r="H998" s="470">
        <v>5</v>
      </c>
      <c r="I998" s="470"/>
      <c r="J998" s="470"/>
    </row>
    <row r="999" spans="1:10" s="174" customFormat="1">
      <c r="A999" s="96">
        <v>273</v>
      </c>
      <c r="B999" s="786" t="s">
        <v>2005</v>
      </c>
      <c r="C999" s="465">
        <v>63400358</v>
      </c>
      <c r="D999" s="470">
        <v>10</v>
      </c>
      <c r="E999" s="761" t="s">
        <v>1314</v>
      </c>
      <c r="F999" s="473"/>
      <c r="G999" s="470"/>
      <c r="H999" s="470">
        <v>5</v>
      </c>
      <c r="I999" s="470">
        <v>5</v>
      </c>
      <c r="J999" s="470"/>
    </row>
    <row r="1000" spans="1:10" s="174" customFormat="1">
      <c r="A1000" s="96">
        <v>274</v>
      </c>
      <c r="B1000" s="786" t="s">
        <v>2006</v>
      </c>
      <c r="C1000" s="465">
        <v>63300231</v>
      </c>
      <c r="D1000" s="470">
        <v>2</v>
      </c>
      <c r="E1000" s="761" t="s">
        <v>1314</v>
      </c>
      <c r="F1000" s="473"/>
      <c r="G1000" s="470"/>
      <c r="H1000" s="470">
        <v>2</v>
      </c>
      <c r="I1000" s="470"/>
      <c r="J1000" s="470"/>
    </row>
    <row r="1001" spans="1:10" s="174" customFormat="1">
      <c r="A1001" s="96">
        <v>275</v>
      </c>
      <c r="B1001" s="786" t="s">
        <v>2835</v>
      </c>
      <c r="C1001" s="465">
        <v>63300109</v>
      </c>
      <c r="D1001" s="470">
        <v>1</v>
      </c>
      <c r="E1001" s="761" t="s">
        <v>1314</v>
      </c>
      <c r="F1001" s="473"/>
      <c r="G1001" s="470"/>
      <c r="H1001" s="470">
        <v>1</v>
      </c>
      <c r="I1001" s="470"/>
      <c r="J1001" s="470"/>
    </row>
    <row r="1002" spans="1:10" s="174" customFormat="1">
      <c r="A1002" s="96">
        <v>276</v>
      </c>
      <c r="B1002" s="786" t="s">
        <v>2835</v>
      </c>
      <c r="C1002" s="465">
        <v>63300168</v>
      </c>
      <c r="D1002" s="470">
        <v>1</v>
      </c>
      <c r="E1002" s="761" t="s">
        <v>1314</v>
      </c>
      <c r="F1002" s="473"/>
      <c r="G1002" s="470"/>
      <c r="H1002" s="470">
        <v>1</v>
      </c>
      <c r="I1002" s="470"/>
      <c r="J1002" s="470"/>
    </row>
    <row r="1003" spans="1:10" s="174" customFormat="1">
      <c r="A1003" s="96">
        <v>277</v>
      </c>
      <c r="B1003" s="786" t="s">
        <v>2836</v>
      </c>
      <c r="C1003" s="465">
        <v>64200106</v>
      </c>
      <c r="D1003" s="470">
        <v>10</v>
      </c>
      <c r="E1003" s="761" t="s">
        <v>1314</v>
      </c>
      <c r="F1003" s="473"/>
      <c r="G1003" s="470"/>
      <c r="H1003" s="470">
        <v>5</v>
      </c>
      <c r="I1003" s="470">
        <v>5</v>
      </c>
      <c r="J1003" s="470"/>
    </row>
    <row r="1004" spans="1:10" s="174" customFormat="1">
      <c r="A1004" s="96">
        <v>278</v>
      </c>
      <c r="B1004" s="786" t="s">
        <v>2837</v>
      </c>
      <c r="C1004" s="465">
        <v>64200104</v>
      </c>
      <c r="D1004" s="470">
        <v>10</v>
      </c>
      <c r="E1004" s="761" t="s">
        <v>1314</v>
      </c>
      <c r="F1004" s="473"/>
      <c r="G1004" s="470"/>
      <c r="H1004" s="470">
        <v>5</v>
      </c>
      <c r="I1004" s="470">
        <v>5</v>
      </c>
      <c r="J1004" s="470"/>
    </row>
    <row r="1005" spans="1:10" s="174" customFormat="1">
      <c r="A1005" s="96">
        <v>279</v>
      </c>
      <c r="B1005" s="791" t="s">
        <v>1394</v>
      </c>
      <c r="C1005" s="465">
        <v>63300280</v>
      </c>
      <c r="D1005" s="470">
        <v>10</v>
      </c>
      <c r="E1005" s="761" t="s">
        <v>1314</v>
      </c>
      <c r="F1005" s="465"/>
      <c r="G1005" s="470"/>
      <c r="H1005" s="470">
        <v>5</v>
      </c>
      <c r="I1005" s="470">
        <v>5</v>
      </c>
      <c r="J1005" s="470"/>
    </row>
    <row r="1006" spans="1:10" s="174" customFormat="1" ht="18.75">
      <c r="A1006" s="1031" t="s">
        <v>1480</v>
      </c>
      <c r="B1006" s="1032"/>
      <c r="C1006" s="1032"/>
      <c r="D1006" s="1032"/>
      <c r="E1006" s="1032"/>
      <c r="F1006" s="1032"/>
      <c r="G1006" s="1032"/>
      <c r="H1006" s="1032"/>
      <c r="I1006" s="1032"/>
      <c r="J1006" s="1033"/>
    </row>
    <row r="1007" spans="1:10" s="174" customFormat="1">
      <c r="A1007" s="96">
        <v>280</v>
      </c>
      <c r="B1007" s="786" t="s">
        <v>2007</v>
      </c>
      <c r="C1007" s="465">
        <v>63300284</v>
      </c>
      <c r="D1007" s="470">
        <v>1</v>
      </c>
      <c r="E1007" s="761" t="s">
        <v>1314</v>
      </c>
      <c r="F1007" s="473"/>
      <c r="G1007" s="470"/>
      <c r="H1007" s="470">
        <v>1</v>
      </c>
      <c r="I1007" s="470"/>
      <c r="J1007" s="470"/>
    </row>
    <row r="1008" spans="1:10" s="174" customFormat="1">
      <c r="A1008" s="96">
        <v>281</v>
      </c>
      <c r="B1008" s="786" t="s">
        <v>1481</v>
      </c>
      <c r="C1008" s="761" t="s">
        <v>1482</v>
      </c>
      <c r="D1008" s="470">
        <v>690</v>
      </c>
      <c r="E1008" s="761" t="s">
        <v>1314</v>
      </c>
      <c r="F1008" s="473"/>
      <c r="G1008" s="470"/>
      <c r="H1008" s="470">
        <v>230</v>
      </c>
      <c r="I1008" s="470">
        <v>230</v>
      </c>
      <c r="J1008" s="470">
        <v>230</v>
      </c>
    </row>
    <row r="1009" spans="1:10" s="174" customFormat="1">
      <c r="A1009" s="96">
        <v>282</v>
      </c>
      <c r="B1009" s="786" t="s">
        <v>1483</v>
      </c>
      <c r="C1009" s="465">
        <v>21538975</v>
      </c>
      <c r="D1009" s="470">
        <v>690</v>
      </c>
      <c r="E1009" s="761" t="s">
        <v>1314</v>
      </c>
      <c r="F1009" s="473"/>
      <c r="G1009" s="470"/>
      <c r="H1009" s="470">
        <v>230</v>
      </c>
      <c r="I1009" s="470">
        <v>230</v>
      </c>
      <c r="J1009" s="470">
        <v>230</v>
      </c>
    </row>
    <row r="1010" spans="1:10" s="174" customFormat="1">
      <c r="A1010" s="96">
        <v>283</v>
      </c>
      <c r="B1010" s="786" t="s">
        <v>1484</v>
      </c>
      <c r="C1010" s="465">
        <v>22296415</v>
      </c>
      <c r="D1010" s="470">
        <v>690</v>
      </c>
      <c r="E1010" s="761" t="s">
        <v>1314</v>
      </c>
      <c r="F1010" s="473"/>
      <c r="G1010" s="470"/>
      <c r="H1010" s="470">
        <v>230</v>
      </c>
      <c r="I1010" s="470">
        <v>230</v>
      </c>
      <c r="J1010" s="470">
        <v>230</v>
      </c>
    </row>
    <row r="1011" spans="1:10" s="174" customFormat="1">
      <c r="A1011" s="96">
        <v>284</v>
      </c>
      <c r="B1011" s="786" t="s">
        <v>1485</v>
      </c>
      <c r="C1011" s="465">
        <v>21377909</v>
      </c>
      <c r="D1011" s="470">
        <v>400</v>
      </c>
      <c r="E1011" s="761" t="s">
        <v>1314</v>
      </c>
      <c r="F1011" s="473"/>
      <c r="G1011" s="470"/>
      <c r="H1011" s="470">
        <v>200</v>
      </c>
      <c r="I1011" s="470">
        <v>200</v>
      </c>
      <c r="J1011" s="470"/>
    </row>
    <row r="1012" spans="1:10" s="174" customFormat="1">
      <c r="A1012" s="96">
        <v>285</v>
      </c>
      <c r="B1012" s="786" t="s">
        <v>1486</v>
      </c>
      <c r="C1012" s="465">
        <v>21913340</v>
      </c>
      <c r="D1012" s="470">
        <v>3</v>
      </c>
      <c r="E1012" s="761" t="s">
        <v>1314</v>
      </c>
      <c r="F1012" s="473"/>
      <c r="G1012" s="470"/>
      <c r="H1012" s="470">
        <v>1</v>
      </c>
      <c r="I1012" s="470">
        <v>1</v>
      </c>
      <c r="J1012" s="470">
        <v>1</v>
      </c>
    </row>
    <row r="1013" spans="1:10" s="174" customFormat="1">
      <c r="A1013" s="96">
        <v>286</v>
      </c>
      <c r="B1013" s="786" t="s">
        <v>1355</v>
      </c>
      <c r="C1013" s="465">
        <v>3827475</v>
      </c>
      <c r="D1013" s="470">
        <v>1</v>
      </c>
      <c r="E1013" s="761" t="s">
        <v>1314</v>
      </c>
      <c r="F1013" s="473"/>
      <c r="G1013" s="470"/>
      <c r="H1013" s="470">
        <v>1</v>
      </c>
      <c r="I1013" s="470"/>
      <c r="J1013" s="470"/>
    </row>
    <row r="1014" spans="1:10" s="174" customFormat="1">
      <c r="A1014" s="96">
        <v>287</v>
      </c>
      <c r="B1014" s="786" t="s">
        <v>1487</v>
      </c>
      <c r="C1014" s="465">
        <v>22251132</v>
      </c>
      <c r="D1014" s="470">
        <v>1</v>
      </c>
      <c r="E1014" s="761" t="s">
        <v>1314</v>
      </c>
      <c r="F1014" s="473"/>
      <c r="G1014" s="470"/>
      <c r="H1014" s="470">
        <v>1</v>
      </c>
      <c r="I1014" s="470"/>
      <c r="J1014" s="470"/>
    </row>
    <row r="1015" spans="1:10" s="174" customFormat="1">
      <c r="A1015" s="96">
        <v>288</v>
      </c>
      <c r="B1015" s="786" t="s">
        <v>1487</v>
      </c>
      <c r="C1015" s="465">
        <v>22251134</v>
      </c>
      <c r="D1015" s="470">
        <v>1</v>
      </c>
      <c r="E1015" s="761" t="s">
        <v>1314</v>
      </c>
      <c r="F1015" s="473"/>
      <c r="G1015" s="470"/>
      <c r="H1015" s="470">
        <v>1</v>
      </c>
      <c r="I1015" s="470"/>
      <c r="J1015" s="470"/>
    </row>
    <row r="1016" spans="1:10" s="174" customFormat="1">
      <c r="A1016" s="96">
        <v>289</v>
      </c>
      <c r="B1016" s="786" t="s">
        <v>1488</v>
      </c>
      <c r="C1016" s="465">
        <v>21785960</v>
      </c>
      <c r="D1016" s="470">
        <v>20</v>
      </c>
      <c r="E1016" s="761" t="s">
        <v>1314</v>
      </c>
      <c r="F1016" s="473"/>
      <c r="G1016" s="470"/>
      <c r="H1016" s="470">
        <v>20</v>
      </c>
      <c r="I1016" s="470"/>
      <c r="J1016" s="470"/>
    </row>
    <row r="1017" spans="1:10" s="174" customFormat="1">
      <c r="A1017" s="96">
        <v>290</v>
      </c>
      <c r="B1017" s="786" t="s">
        <v>1489</v>
      </c>
      <c r="C1017" s="465">
        <v>22296404</v>
      </c>
      <c r="D1017" s="470">
        <v>1</v>
      </c>
      <c r="E1017" s="761" t="s">
        <v>1314</v>
      </c>
      <c r="F1017" s="473"/>
      <c r="G1017" s="470"/>
      <c r="H1017" s="470">
        <v>1</v>
      </c>
      <c r="I1017" s="470"/>
      <c r="J1017" s="470"/>
    </row>
    <row r="1018" spans="1:10" s="174" customFormat="1">
      <c r="A1018" s="96">
        <v>291</v>
      </c>
      <c r="B1018" s="786" t="s">
        <v>1489</v>
      </c>
      <c r="C1018" s="761">
        <v>22812908</v>
      </c>
      <c r="D1018" s="470">
        <v>1</v>
      </c>
      <c r="E1018" s="761" t="s">
        <v>1314</v>
      </c>
      <c r="F1018" s="473"/>
      <c r="G1018" s="470"/>
      <c r="H1018" s="470">
        <v>1</v>
      </c>
      <c r="I1018" s="470"/>
      <c r="J1018" s="470"/>
    </row>
    <row r="1019" spans="1:10" s="174" customFormat="1">
      <c r="A1019" s="96">
        <v>292</v>
      </c>
      <c r="B1019" s="786" t="s">
        <v>1490</v>
      </c>
      <c r="C1019" s="761">
        <v>22590479</v>
      </c>
      <c r="D1019" s="470">
        <v>1</v>
      </c>
      <c r="E1019" s="761" t="s">
        <v>1314</v>
      </c>
      <c r="F1019" s="473"/>
      <c r="G1019" s="470"/>
      <c r="H1019" s="470">
        <v>1</v>
      </c>
      <c r="I1019" s="470"/>
      <c r="J1019" s="470"/>
    </row>
    <row r="1020" spans="1:10" s="174" customFormat="1">
      <c r="A1020" s="96">
        <v>293</v>
      </c>
      <c r="B1020" s="786" t="s">
        <v>1490</v>
      </c>
      <c r="C1020" s="761">
        <v>23099979</v>
      </c>
      <c r="D1020" s="470">
        <v>1</v>
      </c>
      <c r="E1020" s="761" t="s">
        <v>1314</v>
      </c>
      <c r="F1020" s="473"/>
      <c r="G1020" s="470"/>
      <c r="H1020" s="470">
        <v>1</v>
      </c>
      <c r="I1020" s="470"/>
      <c r="J1020" s="470"/>
    </row>
    <row r="1021" spans="1:10" s="174" customFormat="1">
      <c r="A1021" s="96">
        <v>294</v>
      </c>
      <c r="B1021" s="786" t="s">
        <v>1491</v>
      </c>
      <c r="C1021" s="761">
        <v>21735265</v>
      </c>
      <c r="D1021" s="470">
        <v>4</v>
      </c>
      <c r="E1021" s="761" t="s">
        <v>1314</v>
      </c>
      <c r="F1021" s="473"/>
      <c r="G1021" s="470"/>
      <c r="H1021" s="470">
        <v>2</v>
      </c>
      <c r="I1021" s="470">
        <v>2</v>
      </c>
      <c r="J1021" s="470"/>
    </row>
    <row r="1022" spans="1:10" s="174" customFormat="1">
      <c r="A1022" s="96">
        <v>295</v>
      </c>
      <c r="B1022" s="786" t="s">
        <v>1492</v>
      </c>
      <c r="C1022" s="761">
        <v>21746213</v>
      </c>
      <c r="D1022" s="470">
        <v>4</v>
      </c>
      <c r="E1022" s="761" t="s">
        <v>1314</v>
      </c>
      <c r="F1022" s="473"/>
      <c r="G1022" s="470"/>
      <c r="H1022" s="470">
        <v>2</v>
      </c>
      <c r="I1022" s="470">
        <v>2</v>
      </c>
      <c r="J1022" s="470"/>
    </row>
    <row r="1023" spans="1:10" s="174" customFormat="1">
      <c r="A1023" s="96">
        <v>296</v>
      </c>
      <c r="B1023" s="786" t="s">
        <v>1493</v>
      </c>
      <c r="C1023" s="761">
        <v>22707523</v>
      </c>
      <c r="D1023" s="470">
        <v>30</v>
      </c>
      <c r="E1023" s="761" t="s">
        <v>1314</v>
      </c>
      <c r="F1023" s="473"/>
      <c r="G1023" s="470"/>
      <c r="H1023" s="470">
        <v>15</v>
      </c>
      <c r="I1023" s="470">
        <v>15</v>
      </c>
      <c r="J1023" s="470"/>
    </row>
    <row r="1024" spans="1:10" s="174" customFormat="1">
      <c r="A1024" s="96">
        <v>297</v>
      </c>
      <c r="B1024" s="786" t="s">
        <v>1494</v>
      </c>
      <c r="C1024" s="761">
        <v>23309926</v>
      </c>
      <c r="D1024" s="470">
        <v>4</v>
      </c>
      <c r="E1024" s="761" t="s">
        <v>1314</v>
      </c>
      <c r="F1024" s="473"/>
      <c r="G1024" s="470"/>
      <c r="H1024" s="470">
        <v>2</v>
      </c>
      <c r="I1024" s="470">
        <v>2</v>
      </c>
      <c r="J1024" s="470"/>
    </row>
    <row r="1025" spans="1:10" s="174" customFormat="1">
      <c r="A1025" s="96">
        <v>298</v>
      </c>
      <c r="B1025" s="786" t="s">
        <v>1495</v>
      </c>
      <c r="C1025" s="761">
        <v>23287028</v>
      </c>
      <c r="D1025" s="470">
        <v>2</v>
      </c>
      <c r="E1025" s="761" t="s">
        <v>1314</v>
      </c>
      <c r="F1025" s="473"/>
      <c r="G1025" s="470"/>
      <c r="H1025" s="470">
        <v>1</v>
      </c>
      <c r="I1025" s="470">
        <v>1</v>
      </c>
      <c r="J1025" s="470"/>
    </row>
    <row r="1026" spans="1:10" s="174" customFormat="1">
      <c r="A1026" s="96">
        <v>299</v>
      </c>
      <c r="B1026" s="786" t="s">
        <v>2832</v>
      </c>
      <c r="C1026" s="761">
        <v>22208991</v>
      </c>
      <c r="D1026" s="470">
        <v>2</v>
      </c>
      <c r="E1026" s="761" t="s">
        <v>1314</v>
      </c>
      <c r="F1026" s="473"/>
      <c r="G1026" s="470"/>
      <c r="H1026" s="470">
        <v>2</v>
      </c>
      <c r="I1026" s="470"/>
      <c r="J1026" s="470"/>
    </row>
    <row r="1027" spans="1:10" s="174" customFormat="1">
      <c r="A1027" s="96">
        <v>300</v>
      </c>
      <c r="B1027" s="786" t="s">
        <v>2832</v>
      </c>
      <c r="C1027" s="761">
        <v>22208989</v>
      </c>
      <c r="D1027" s="470">
        <v>2</v>
      </c>
      <c r="E1027" s="761" t="s">
        <v>1314</v>
      </c>
      <c r="F1027" s="473"/>
      <c r="G1027" s="470"/>
      <c r="H1027" s="470">
        <v>2</v>
      </c>
      <c r="I1027" s="470"/>
      <c r="J1027" s="470"/>
    </row>
    <row r="1028" spans="1:10" s="174" customFormat="1" ht="18.75">
      <c r="A1028" s="1030" t="s">
        <v>1496</v>
      </c>
      <c r="B1028" s="1030"/>
      <c r="C1028" s="1030"/>
      <c r="D1028" s="1030"/>
      <c r="E1028" s="1030"/>
      <c r="F1028" s="1030"/>
      <c r="G1028" s="1030"/>
      <c r="H1028" s="1030"/>
      <c r="I1028" s="1030"/>
      <c r="J1028" s="1030"/>
    </row>
    <row r="1029" spans="1:10" s="174" customFormat="1">
      <c r="A1029" s="96">
        <v>301</v>
      </c>
      <c r="B1029" s="786" t="s">
        <v>1497</v>
      </c>
      <c r="C1029" s="465">
        <v>1000114014</v>
      </c>
      <c r="D1029" s="470">
        <v>10</v>
      </c>
      <c r="E1029" s="761" t="s">
        <v>1314</v>
      </c>
      <c r="F1029" s="473"/>
      <c r="G1029" s="470"/>
      <c r="H1029" s="470">
        <v>5</v>
      </c>
      <c r="I1029" s="470">
        <v>5</v>
      </c>
      <c r="J1029" s="470"/>
    </row>
    <row r="1030" spans="1:10" s="174" customFormat="1">
      <c r="A1030" s="96">
        <v>302</v>
      </c>
      <c r="B1030" s="786" t="s">
        <v>1498</v>
      </c>
      <c r="C1030" s="465">
        <v>1000114242</v>
      </c>
      <c r="D1030" s="470">
        <v>2</v>
      </c>
      <c r="E1030" s="761" t="s">
        <v>1314</v>
      </c>
      <c r="F1030" s="473"/>
      <c r="G1030" s="470"/>
      <c r="H1030" s="470">
        <v>1</v>
      </c>
      <c r="I1030" s="470">
        <v>1</v>
      </c>
      <c r="J1030" s="470"/>
    </row>
    <row r="1031" spans="1:10" s="174" customFormat="1">
      <c r="A1031" s="96">
        <v>303</v>
      </c>
      <c r="B1031" s="786" t="s">
        <v>1499</v>
      </c>
      <c r="C1031" s="465">
        <v>1000114243</v>
      </c>
      <c r="D1031" s="470">
        <v>1</v>
      </c>
      <c r="E1031" s="761" t="s">
        <v>1314</v>
      </c>
      <c r="F1031" s="473"/>
      <c r="G1031" s="470"/>
      <c r="H1031" s="470">
        <v>1</v>
      </c>
      <c r="I1031" s="470"/>
      <c r="J1031" s="470"/>
    </row>
    <row r="1032" spans="1:10" s="174" customFormat="1">
      <c r="A1032" s="96">
        <v>304</v>
      </c>
      <c r="B1032" s="786" t="s">
        <v>1500</v>
      </c>
      <c r="C1032" s="465">
        <v>1000114244</v>
      </c>
      <c r="D1032" s="470">
        <v>3</v>
      </c>
      <c r="E1032" s="761" t="s">
        <v>1314</v>
      </c>
      <c r="F1032" s="473"/>
      <c r="G1032" s="470"/>
      <c r="H1032" s="470">
        <v>2</v>
      </c>
      <c r="I1032" s="470">
        <v>1</v>
      </c>
      <c r="J1032" s="470"/>
    </row>
    <row r="1033" spans="1:10" s="174" customFormat="1">
      <c r="A1033" s="96">
        <v>305</v>
      </c>
      <c r="B1033" s="786" t="s">
        <v>1447</v>
      </c>
      <c r="C1033" s="465">
        <v>1000114079</v>
      </c>
      <c r="D1033" s="470">
        <v>5</v>
      </c>
      <c r="E1033" s="761" t="s">
        <v>1314</v>
      </c>
      <c r="F1033" s="473"/>
      <c r="G1033" s="470"/>
      <c r="H1033" s="470">
        <v>5</v>
      </c>
      <c r="I1033" s="470"/>
      <c r="J1033" s="470"/>
    </row>
    <row r="1034" spans="1:10" s="174" customFormat="1">
      <c r="A1034" s="96">
        <v>306</v>
      </c>
      <c r="B1034" s="786" t="s">
        <v>1447</v>
      </c>
      <c r="C1034" s="465">
        <v>1000114080</v>
      </c>
      <c r="D1034" s="470">
        <v>20</v>
      </c>
      <c r="E1034" s="761" t="s">
        <v>1314</v>
      </c>
      <c r="F1034" s="473"/>
      <c r="G1034" s="470"/>
      <c r="H1034" s="470">
        <v>10</v>
      </c>
      <c r="I1034" s="470">
        <v>10</v>
      </c>
      <c r="J1034" s="470"/>
    </row>
    <row r="1035" spans="1:10" s="174" customFormat="1">
      <c r="A1035" s="96">
        <v>307</v>
      </c>
      <c r="B1035" s="786" t="s">
        <v>1447</v>
      </c>
      <c r="C1035" s="465">
        <v>1000114081</v>
      </c>
      <c r="D1035" s="470">
        <v>5</v>
      </c>
      <c r="E1035" s="761" t="s">
        <v>1314</v>
      </c>
      <c r="F1035" s="473"/>
      <c r="G1035" s="470"/>
      <c r="H1035" s="470">
        <v>5</v>
      </c>
      <c r="I1035" s="470"/>
      <c r="J1035" s="470"/>
    </row>
    <row r="1036" spans="1:10" s="174" customFormat="1">
      <c r="A1036" s="96">
        <v>308</v>
      </c>
      <c r="B1036" s="786" t="s">
        <v>1501</v>
      </c>
      <c r="C1036" s="465">
        <v>1000114343</v>
      </c>
      <c r="D1036" s="470">
        <v>10</v>
      </c>
      <c r="E1036" s="761" t="s">
        <v>1314</v>
      </c>
      <c r="F1036" s="473"/>
      <c r="G1036" s="470"/>
      <c r="H1036" s="470">
        <v>5</v>
      </c>
      <c r="I1036" s="470">
        <v>5</v>
      </c>
      <c r="J1036" s="470"/>
    </row>
    <row r="1037" spans="1:10" s="174" customFormat="1">
      <c r="A1037" s="96">
        <v>309</v>
      </c>
      <c r="B1037" s="786" t="s">
        <v>1502</v>
      </c>
      <c r="C1037" s="465">
        <v>1000115156</v>
      </c>
      <c r="D1037" s="470">
        <v>30</v>
      </c>
      <c r="E1037" s="761" t="s">
        <v>1314</v>
      </c>
      <c r="F1037" s="473"/>
      <c r="G1037" s="470"/>
      <c r="H1037" s="470">
        <v>10</v>
      </c>
      <c r="I1037" s="470">
        <v>10</v>
      </c>
      <c r="J1037" s="470">
        <v>10</v>
      </c>
    </row>
    <row r="1038" spans="1:10" s="174" customFormat="1">
      <c r="A1038" s="96">
        <v>310</v>
      </c>
      <c r="B1038" s="786" t="s">
        <v>1460</v>
      </c>
      <c r="C1038" s="465">
        <v>1000113657</v>
      </c>
      <c r="D1038" s="470">
        <v>10</v>
      </c>
      <c r="E1038" s="761" t="s">
        <v>1314</v>
      </c>
      <c r="F1038" s="473"/>
      <c r="G1038" s="470"/>
      <c r="H1038" s="470">
        <v>5</v>
      </c>
      <c r="I1038" s="470">
        <v>5</v>
      </c>
      <c r="J1038" s="470"/>
    </row>
    <row r="1039" spans="1:10" s="174" customFormat="1">
      <c r="A1039" s="96">
        <v>311</v>
      </c>
      <c r="B1039" s="786" t="s">
        <v>1447</v>
      </c>
      <c r="C1039" s="465">
        <v>1000115348</v>
      </c>
      <c r="D1039" s="470">
        <v>5</v>
      </c>
      <c r="E1039" s="761" t="s">
        <v>1314</v>
      </c>
      <c r="F1039" s="473"/>
      <c r="G1039" s="470"/>
      <c r="H1039" s="470">
        <v>5</v>
      </c>
      <c r="I1039" s="470"/>
      <c r="J1039" s="470"/>
    </row>
    <row r="1040" spans="1:10" s="174" customFormat="1">
      <c r="A1040" s="96">
        <v>312</v>
      </c>
      <c r="B1040" s="786" t="s">
        <v>1401</v>
      </c>
      <c r="C1040" s="465">
        <v>1000113777</v>
      </c>
      <c r="D1040" s="470">
        <v>80</v>
      </c>
      <c r="E1040" s="761" t="s">
        <v>1314</v>
      </c>
      <c r="F1040" s="473"/>
      <c r="G1040" s="470"/>
      <c r="H1040" s="470">
        <v>40</v>
      </c>
      <c r="I1040" s="470">
        <v>40</v>
      </c>
      <c r="J1040" s="470"/>
    </row>
    <row r="1041" spans="1:10" s="174" customFormat="1">
      <c r="A1041" s="96">
        <v>313</v>
      </c>
      <c r="B1041" s="786" t="s">
        <v>1427</v>
      </c>
      <c r="C1041" s="465">
        <v>1000113831</v>
      </c>
      <c r="D1041" s="470">
        <v>300</v>
      </c>
      <c r="E1041" s="761" t="s">
        <v>1314</v>
      </c>
      <c r="F1041" s="473"/>
      <c r="G1041" s="470"/>
      <c r="H1041" s="470">
        <v>150</v>
      </c>
      <c r="I1041" s="470">
        <v>150</v>
      </c>
      <c r="J1041" s="470"/>
    </row>
    <row r="1042" spans="1:10" s="174" customFormat="1">
      <c r="A1042" s="96">
        <v>314</v>
      </c>
      <c r="B1042" s="786" t="s">
        <v>927</v>
      </c>
      <c r="C1042" s="465">
        <v>1000113758</v>
      </c>
      <c r="D1042" s="470">
        <v>20</v>
      </c>
      <c r="E1042" s="761" t="s">
        <v>1314</v>
      </c>
      <c r="F1042" s="473"/>
      <c r="G1042" s="470"/>
      <c r="H1042" s="470">
        <v>10</v>
      </c>
      <c r="I1042" s="470">
        <v>10</v>
      </c>
      <c r="J1042" s="470"/>
    </row>
    <row r="1043" spans="1:10" s="174" customFormat="1">
      <c r="A1043" s="96">
        <v>315</v>
      </c>
      <c r="B1043" s="786" t="s">
        <v>927</v>
      </c>
      <c r="C1043" s="465" t="s">
        <v>1503</v>
      </c>
      <c r="D1043" s="470">
        <v>10</v>
      </c>
      <c r="E1043" s="761" t="s">
        <v>1314</v>
      </c>
      <c r="F1043" s="473"/>
      <c r="G1043" s="470"/>
      <c r="H1043" s="470">
        <v>5</v>
      </c>
      <c r="I1043" s="470">
        <v>5</v>
      </c>
      <c r="J1043" s="470"/>
    </row>
    <row r="1044" spans="1:10" s="174" customFormat="1">
      <c r="A1044" s="96">
        <v>316</v>
      </c>
      <c r="B1044" s="786" t="s">
        <v>1504</v>
      </c>
      <c r="C1044" s="465">
        <v>1000113950</v>
      </c>
      <c r="D1044" s="470">
        <v>1</v>
      </c>
      <c r="E1044" s="761" t="s">
        <v>1314</v>
      </c>
      <c r="F1044" s="473"/>
      <c r="G1044" s="470"/>
      <c r="H1044" s="470">
        <v>1</v>
      </c>
      <c r="I1044" s="470"/>
      <c r="J1044" s="470"/>
    </row>
    <row r="1045" spans="1:10" s="174" customFormat="1">
      <c r="A1045" s="96">
        <v>317</v>
      </c>
      <c r="B1045" s="786" t="s">
        <v>1364</v>
      </c>
      <c r="C1045" s="465">
        <v>1000113952</v>
      </c>
      <c r="D1045" s="470">
        <v>20</v>
      </c>
      <c r="E1045" s="761" t="s">
        <v>1314</v>
      </c>
      <c r="F1045" s="473"/>
      <c r="G1045" s="470"/>
      <c r="H1045" s="470">
        <v>10</v>
      </c>
      <c r="I1045" s="470">
        <v>10</v>
      </c>
      <c r="J1045" s="470"/>
    </row>
    <row r="1046" spans="1:10" s="174" customFormat="1">
      <c r="A1046" s="96">
        <v>318</v>
      </c>
      <c r="B1046" s="786" t="s">
        <v>1365</v>
      </c>
      <c r="C1046" s="465">
        <v>1000113954</v>
      </c>
      <c r="D1046" s="470">
        <v>20</v>
      </c>
      <c r="E1046" s="761" t="s">
        <v>1314</v>
      </c>
      <c r="F1046" s="473"/>
      <c r="G1046" s="470"/>
      <c r="H1046" s="470">
        <v>10</v>
      </c>
      <c r="I1046" s="470">
        <v>10</v>
      </c>
      <c r="J1046" s="470"/>
    </row>
    <row r="1047" spans="1:10" s="174" customFormat="1">
      <c r="A1047" s="96">
        <v>319</v>
      </c>
      <c r="B1047" s="786" t="s">
        <v>1505</v>
      </c>
      <c r="C1047" s="465">
        <v>1000114638</v>
      </c>
      <c r="D1047" s="470">
        <v>5</v>
      </c>
      <c r="E1047" s="761" t="s">
        <v>1314</v>
      </c>
      <c r="F1047" s="473"/>
      <c r="G1047" s="470"/>
      <c r="H1047" s="470">
        <v>3</v>
      </c>
      <c r="I1047" s="470">
        <v>2</v>
      </c>
      <c r="J1047" s="470"/>
    </row>
    <row r="1048" spans="1:10" s="174" customFormat="1">
      <c r="A1048" s="96">
        <v>320</v>
      </c>
      <c r="B1048" s="786" t="s">
        <v>927</v>
      </c>
      <c r="C1048" s="465">
        <v>1000115619</v>
      </c>
      <c r="D1048" s="470">
        <v>5</v>
      </c>
      <c r="E1048" s="761" t="s">
        <v>1314</v>
      </c>
      <c r="F1048" s="473"/>
      <c r="G1048" s="470"/>
      <c r="H1048" s="470">
        <v>5</v>
      </c>
      <c r="I1048" s="470"/>
      <c r="J1048" s="470"/>
    </row>
    <row r="1049" spans="1:10" s="174" customFormat="1">
      <c r="A1049" s="96">
        <v>321</v>
      </c>
      <c r="B1049" s="786" t="s">
        <v>1434</v>
      </c>
      <c r="C1049" s="465">
        <v>1000113940</v>
      </c>
      <c r="D1049" s="470">
        <v>5</v>
      </c>
      <c r="E1049" s="761" t="s">
        <v>1314</v>
      </c>
      <c r="F1049" s="473"/>
      <c r="G1049" s="470"/>
      <c r="H1049" s="470">
        <v>5</v>
      </c>
      <c r="I1049" s="470"/>
      <c r="J1049" s="470"/>
    </row>
    <row r="1050" spans="1:10" s="174" customFormat="1">
      <c r="A1050" s="96">
        <v>322</v>
      </c>
      <c r="B1050" s="786" t="s">
        <v>1506</v>
      </c>
      <c r="C1050" s="465">
        <v>1000113931</v>
      </c>
      <c r="D1050" s="470">
        <v>140</v>
      </c>
      <c r="E1050" s="761" t="s">
        <v>1314</v>
      </c>
      <c r="F1050" s="473"/>
      <c r="G1050" s="470"/>
      <c r="H1050" s="470"/>
      <c r="I1050" s="470">
        <v>70</v>
      </c>
      <c r="J1050" s="470">
        <v>70</v>
      </c>
    </row>
    <row r="1051" spans="1:10" s="174" customFormat="1">
      <c r="A1051" s="96">
        <v>323</v>
      </c>
      <c r="B1051" s="786" t="s">
        <v>1507</v>
      </c>
      <c r="C1051" s="465">
        <v>1000114015</v>
      </c>
      <c r="D1051" s="470">
        <v>5</v>
      </c>
      <c r="E1051" s="761" t="s">
        <v>1314</v>
      </c>
      <c r="F1051" s="473"/>
      <c r="G1051" s="470"/>
      <c r="H1051" s="470"/>
      <c r="I1051" s="470">
        <v>5</v>
      </c>
      <c r="J1051" s="470"/>
    </row>
    <row r="1052" spans="1:10" s="174" customFormat="1">
      <c r="A1052" s="96">
        <v>324</v>
      </c>
      <c r="B1052" s="786" t="s">
        <v>1423</v>
      </c>
      <c r="C1052" s="465">
        <v>1000114016</v>
      </c>
      <c r="D1052" s="470">
        <v>4</v>
      </c>
      <c r="E1052" s="761" t="s">
        <v>1314</v>
      </c>
      <c r="F1052" s="473"/>
      <c r="G1052" s="470"/>
      <c r="H1052" s="470">
        <v>2</v>
      </c>
      <c r="I1052" s="470">
        <v>2</v>
      </c>
      <c r="J1052" s="470"/>
    </row>
    <row r="1053" spans="1:10" s="174" customFormat="1">
      <c r="A1053" s="96">
        <v>325</v>
      </c>
      <c r="B1053" s="786" t="s">
        <v>1508</v>
      </c>
      <c r="C1053" s="465">
        <v>1000114015</v>
      </c>
      <c r="D1053" s="470">
        <v>2</v>
      </c>
      <c r="E1053" s="761" t="s">
        <v>1314</v>
      </c>
      <c r="F1053" s="473"/>
      <c r="G1053" s="470"/>
      <c r="H1053" s="470">
        <v>1</v>
      </c>
      <c r="I1053" s="470">
        <v>1</v>
      </c>
      <c r="J1053" s="470"/>
    </row>
    <row r="1054" spans="1:10" s="174" customFormat="1">
      <c r="A1054" s="96">
        <v>326</v>
      </c>
      <c r="B1054" s="786" t="s">
        <v>1509</v>
      </c>
      <c r="C1054" s="465">
        <v>1000115352</v>
      </c>
      <c r="D1054" s="470">
        <v>100</v>
      </c>
      <c r="E1054" s="761" t="s">
        <v>1314</v>
      </c>
      <c r="F1054" s="473"/>
      <c r="G1054" s="470"/>
      <c r="H1054" s="470">
        <v>50</v>
      </c>
      <c r="I1054" s="470">
        <v>50</v>
      </c>
      <c r="J1054" s="470"/>
    </row>
    <row r="1055" spans="1:10" s="174" customFormat="1">
      <c r="A1055" s="96">
        <v>327</v>
      </c>
      <c r="B1055" s="786" t="s">
        <v>1510</v>
      </c>
      <c r="C1055" s="761" t="s">
        <v>1511</v>
      </c>
      <c r="D1055" s="470">
        <v>8</v>
      </c>
      <c r="E1055" s="761" t="s">
        <v>1314</v>
      </c>
      <c r="F1055" s="473"/>
      <c r="G1055" s="470"/>
      <c r="H1055" s="470">
        <v>4</v>
      </c>
      <c r="I1055" s="470">
        <v>4</v>
      </c>
      <c r="J1055" s="470"/>
    </row>
    <row r="1056" spans="1:10" s="174" customFormat="1">
      <c r="A1056" s="96">
        <v>328</v>
      </c>
      <c r="B1056" s="786" t="s">
        <v>1512</v>
      </c>
      <c r="C1056" s="761" t="s">
        <v>1513</v>
      </c>
      <c r="D1056" s="470">
        <v>4</v>
      </c>
      <c r="E1056" s="761" t="s">
        <v>1314</v>
      </c>
      <c r="F1056" s="473"/>
      <c r="G1056" s="470"/>
      <c r="H1056" s="470">
        <v>2</v>
      </c>
      <c r="I1056" s="470">
        <v>2</v>
      </c>
      <c r="J1056" s="470"/>
    </row>
    <row r="1057" spans="1:10" s="174" customFormat="1">
      <c r="A1057" s="96">
        <v>329</v>
      </c>
      <c r="B1057" s="786" t="s">
        <v>1514</v>
      </c>
      <c r="C1057" s="761" t="s">
        <v>1515</v>
      </c>
      <c r="D1057" s="470">
        <v>4</v>
      </c>
      <c r="E1057" s="761" t="s">
        <v>1314</v>
      </c>
      <c r="F1057" s="473"/>
      <c r="G1057" s="470"/>
      <c r="H1057" s="470">
        <v>2</v>
      </c>
      <c r="I1057" s="470">
        <v>2</v>
      </c>
      <c r="J1057" s="470"/>
    </row>
    <row r="1058" spans="1:10" s="174" customFormat="1">
      <c r="A1058" s="96">
        <v>330</v>
      </c>
      <c r="B1058" s="786" t="s">
        <v>1516</v>
      </c>
      <c r="C1058" s="761" t="s">
        <v>1517</v>
      </c>
      <c r="D1058" s="470">
        <v>4</v>
      </c>
      <c r="E1058" s="761" t="s">
        <v>1314</v>
      </c>
      <c r="F1058" s="473"/>
      <c r="G1058" s="470"/>
      <c r="H1058" s="470">
        <v>2</v>
      </c>
      <c r="I1058" s="470">
        <v>2</v>
      </c>
      <c r="J1058" s="470"/>
    </row>
    <row r="1059" spans="1:10" s="174" customFormat="1">
      <c r="A1059" s="96">
        <v>331</v>
      </c>
      <c r="B1059" s="786" t="s">
        <v>1518</v>
      </c>
      <c r="C1059" s="465">
        <v>1000113898</v>
      </c>
      <c r="D1059" s="470">
        <v>30</v>
      </c>
      <c r="E1059" s="761" t="s">
        <v>1314</v>
      </c>
      <c r="F1059" s="473"/>
      <c r="G1059" s="470"/>
      <c r="H1059" s="470">
        <v>20</v>
      </c>
      <c r="I1059" s="470">
        <v>10</v>
      </c>
      <c r="J1059" s="470"/>
    </row>
    <row r="1060" spans="1:10" s="174" customFormat="1">
      <c r="A1060" s="96">
        <v>332</v>
      </c>
      <c r="B1060" s="786" t="s">
        <v>1519</v>
      </c>
      <c r="C1060" s="465">
        <v>1000113897</v>
      </c>
      <c r="D1060" s="470">
        <v>30</v>
      </c>
      <c r="E1060" s="761" t="s">
        <v>1314</v>
      </c>
      <c r="F1060" s="473"/>
      <c r="G1060" s="470"/>
      <c r="H1060" s="470">
        <v>20</v>
      </c>
      <c r="I1060" s="470">
        <v>10</v>
      </c>
      <c r="J1060" s="470"/>
    </row>
    <row r="1061" spans="1:10" s="174" customFormat="1">
      <c r="A1061" s="96">
        <v>333</v>
      </c>
      <c r="B1061" s="786" t="s">
        <v>1400</v>
      </c>
      <c r="C1061" s="465">
        <v>1000113945</v>
      </c>
      <c r="D1061" s="470">
        <v>70</v>
      </c>
      <c r="E1061" s="761" t="s">
        <v>1314</v>
      </c>
      <c r="F1061" s="473"/>
      <c r="G1061" s="470"/>
      <c r="H1061" s="470">
        <v>70</v>
      </c>
      <c r="I1061" s="470"/>
      <c r="J1061" s="470"/>
    </row>
    <row r="1062" spans="1:10" s="174" customFormat="1">
      <c r="A1062" s="96">
        <v>334</v>
      </c>
      <c r="B1062" s="786" t="s">
        <v>1400</v>
      </c>
      <c r="C1062" s="465">
        <v>1000113812</v>
      </c>
      <c r="D1062" s="470">
        <v>100</v>
      </c>
      <c r="E1062" s="761" t="s">
        <v>1314</v>
      </c>
      <c r="F1062" s="473"/>
      <c r="G1062" s="470"/>
      <c r="H1062" s="470">
        <v>100</v>
      </c>
      <c r="I1062" s="470"/>
      <c r="J1062" s="470"/>
    </row>
    <row r="1063" spans="1:10" s="174" customFormat="1">
      <c r="A1063" s="96">
        <v>335</v>
      </c>
      <c r="B1063" s="786" t="s">
        <v>1520</v>
      </c>
      <c r="C1063" s="465">
        <v>1000113972</v>
      </c>
      <c r="D1063" s="470">
        <v>5</v>
      </c>
      <c r="E1063" s="761" t="s">
        <v>1314</v>
      </c>
      <c r="F1063" s="473"/>
      <c r="G1063" s="470"/>
      <c r="H1063" s="470">
        <v>3</v>
      </c>
      <c r="I1063" s="470">
        <v>2</v>
      </c>
      <c r="J1063" s="470"/>
    </row>
    <row r="1064" spans="1:10" s="174" customFormat="1">
      <c r="A1064" s="96">
        <v>336</v>
      </c>
      <c r="B1064" s="786" t="s">
        <v>1347</v>
      </c>
      <c r="C1064" s="465">
        <v>1000113998</v>
      </c>
      <c r="D1064" s="470">
        <v>5</v>
      </c>
      <c r="E1064" s="761" t="s">
        <v>1314</v>
      </c>
      <c r="F1064" s="473"/>
      <c r="G1064" s="470"/>
      <c r="H1064" s="470">
        <v>3</v>
      </c>
      <c r="I1064" s="470">
        <v>2</v>
      </c>
      <c r="J1064" s="470"/>
    </row>
    <row r="1065" spans="1:10" s="174" customFormat="1">
      <c r="A1065" s="96">
        <v>337</v>
      </c>
      <c r="B1065" s="786" t="s">
        <v>927</v>
      </c>
      <c r="C1065" s="465">
        <v>1000113997</v>
      </c>
      <c r="D1065" s="470">
        <v>10</v>
      </c>
      <c r="E1065" s="761" t="s">
        <v>1314</v>
      </c>
      <c r="F1065" s="473"/>
      <c r="G1065" s="470"/>
      <c r="H1065" s="470">
        <v>5</v>
      </c>
      <c r="I1065" s="470">
        <v>5</v>
      </c>
      <c r="J1065" s="470"/>
    </row>
    <row r="1066" spans="1:10" s="174" customFormat="1">
      <c r="A1066" s="96">
        <v>338</v>
      </c>
      <c r="B1066" s="786" t="s">
        <v>1436</v>
      </c>
      <c r="C1066" s="465">
        <v>1000113967</v>
      </c>
      <c r="D1066" s="470">
        <v>5</v>
      </c>
      <c r="E1066" s="761" t="s">
        <v>1314</v>
      </c>
      <c r="F1066" s="473"/>
      <c r="G1066" s="470"/>
      <c r="H1066" s="470">
        <v>3</v>
      </c>
      <c r="I1066" s="470">
        <v>2</v>
      </c>
      <c r="J1066" s="470"/>
    </row>
    <row r="1067" spans="1:10" s="174" customFormat="1">
      <c r="A1067" s="96">
        <v>339</v>
      </c>
      <c r="B1067" s="786" t="s">
        <v>1521</v>
      </c>
      <c r="C1067" s="465">
        <v>1000113968</v>
      </c>
      <c r="D1067" s="470">
        <v>170</v>
      </c>
      <c r="E1067" s="761" t="s">
        <v>1314</v>
      </c>
      <c r="F1067" s="473"/>
      <c r="G1067" s="470"/>
      <c r="H1067" s="470">
        <v>170</v>
      </c>
      <c r="I1067" s="470"/>
      <c r="J1067" s="470"/>
    </row>
    <row r="1068" spans="1:10" s="174" customFormat="1">
      <c r="A1068" s="96">
        <v>340</v>
      </c>
      <c r="B1068" s="786" t="s">
        <v>925</v>
      </c>
      <c r="C1068" s="465">
        <v>1000113961</v>
      </c>
      <c r="D1068" s="470">
        <v>3</v>
      </c>
      <c r="E1068" s="761" t="s">
        <v>1314</v>
      </c>
      <c r="F1068" s="473"/>
      <c r="G1068" s="470"/>
      <c r="H1068" s="470">
        <v>2</v>
      </c>
      <c r="I1068" s="470">
        <v>1</v>
      </c>
      <c r="J1068" s="470"/>
    </row>
    <row r="1069" spans="1:10" s="174" customFormat="1">
      <c r="A1069" s="96">
        <v>341</v>
      </c>
      <c r="B1069" s="786" t="s">
        <v>1436</v>
      </c>
      <c r="C1069" s="465">
        <v>1000113957</v>
      </c>
      <c r="D1069" s="470">
        <v>3</v>
      </c>
      <c r="E1069" s="761" t="s">
        <v>1314</v>
      </c>
      <c r="F1069" s="473"/>
      <c r="G1069" s="470"/>
      <c r="H1069" s="470">
        <v>2</v>
      </c>
      <c r="I1069" s="470">
        <v>1</v>
      </c>
      <c r="J1069" s="470"/>
    </row>
    <row r="1070" spans="1:10" s="174" customFormat="1">
      <c r="A1070" s="96">
        <v>342</v>
      </c>
      <c r="B1070" s="786" t="s">
        <v>1436</v>
      </c>
      <c r="C1070" s="465">
        <v>1000113963</v>
      </c>
      <c r="D1070" s="470">
        <v>3</v>
      </c>
      <c r="E1070" s="761" t="s">
        <v>1314</v>
      </c>
      <c r="F1070" s="473"/>
      <c r="G1070" s="470"/>
      <c r="H1070" s="470">
        <v>2</v>
      </c>
      <c r="I1070" s="470">
        <v>1</v>
      </c>
      <c r="J1070" s="470"/>
    </row>
    <row r="1071" spans="1:10" s="174" customFormat="1">
      <c r="A1071" s="96">
        <v>343</v>
      </c>
      <c r="B1071" s="786" t="s">
        <v>1436</v>
      </c>
      <c r="C1071" s="465">
        <v>1000113962</v>
      </c>
      <c r="D1071" s="470">
        <v>3</v>
      </c>
      <c r="E1071" s="761" t="s">
        <v>1314</v>
      </c>
      <c r="F1071" s="473"/>
      <c r="G1071" s="470"/>
      <c r="H1071" s="470">
        <v>2</v>
      </c>
      <c r="I1071" s="470">
        <v>1</v>
      </c>
      <c r="J1071" s="470"/>
    </row>
    <row r="1072" spans="1:10" s="174" customFormat="1">
      <c r="A1072" s="96">
        <v>344</v>
      </c>
      <c r="B1072" s="786" t="s">
        <v>1436</v>
      </c>
      <c r="C1072" s="465">
        <v>1000113970</v>
      </c>
      <c r="D1072" s="470">
        <v>3</v>
      </c>
      <c r="E1072" s="761" t="s">
        <v>1314</v>
      </c>
      <c r="F1072" s="473"/>
      <c r="G1072" s="470"/>
      <c r="H1072" s="470">
        <v>2</v>
      </c>
      <c r="I1072" s="470">
        <v>1</v>
      </c>
      <c r="J1072" s="470"/>
    </row>
    <row r="1073" spans="1:10" s="174" customFormat="1">
      <c r="A1073" s="96">
        <v>345</v>
      </c>
      <c r="B1073" s="786" t="s">
        <v>1436</v>
      </c>
      <c r="C1073" s="465">
        <v>1000113971</v>
      </c>
      <c r="D1073" s="470">
        <v>3</v>
      </c>
      <c r="E1073" s="761" t="s">
        <v>1314</v>
      </c>
      <c r="F1073" s="473"/>
      <c r="G1073" s="470"/>
      <c r="H1073" s="470">
        <v>2</v>
      </c>
      <c r="I1073" s="470">
        <v>1</v>
      </c>
      <c r="J1073" s="470"/>
    </row>
    <row r="1074" spans="1:10" s="174" customFormat="1">
      <c r="A1074" s="96">
        <v>346</v>
      </c>
      <c r="B1074" s="786" t="s">
        <v>927</v>
      </c>
      <c r="C1074" s="465">
        <v>1000113965</v>
      </c>
      <c r="D1074" s="470">
        <v>5</v>
      </c>
      <c r="E1074" s="761" t="s">
        <v>1314</v>
      </c>
      <c r="F1074" s="473"/>
      <c r="G1074" s="470"/>
      <c r="H1074" s="470">
        <v>3</v>
      </c>
      <c r="I1074" s="470">
        <v>2</v>
      </c>
      <c r="J1074" s="470"/>
    </row>
    <row r="1075" spans="1:10" s="174" customFormat="1">
      <c r="A1075" s="96">
        <v>347</v>
      </c>
      <c r="B1075" s="786" t="s">
        <v>927</v>
      </c>
      <c r="C1075" s="465">
        <v>1000113966</v>
      </c>
      <c r="D1075" s="470">
        <v>5</v>
      </c>
      <c r="E1075" s="761" t="s">
        <v>1314</v>
      </c>
      <c r="F1075" s="473"/>
      <c r="G1075" s="470"/>
      <c r="H1075" s="470">
        <v>3</v>
      </c>
      <c r="I1075" s="470">
        <v>2</v>
      </c>
      <c r="J1075" s="470"/>
    </row>
    <row r="1076" spans="1:10" s="174" customFormat="1">
      <c r="A1076" s="96">
        <v>348</v>
      </c>
      <c r="B1076" s="786" t="s">
        <v>927</v>
      </c>
      <c r="C1076" s="465">
        <v>1000113973</v>
      </c>
      <c r="D1076" s="470">
        <v>5</v>
      </c>
      <c r="E1076" s="761" t="s">
        <v>1314</v>
      </c>
      <c r="F1076" s="473"/>
      <c r="G1076" s="470"/>
      <c r="H1076" s="470">
        <v>3</v>
      </c>
      <c r="I1076" s="470">
        <v>2</v>
      </c>
      <c r="J1076" s="470"/>
    </row>
    <row r="1077" spans="1:10" s="174" customFormat="1">
      <c r="A1077" s="96">
        <v>349</v>
      </c>
      <c r="B1077" s="786" t="s">
        <v>927</v>
      </c>
      <c r="C1077" s="465">
        <v>1000113964</v>
      </c>
      <c r="D1077" s="470">
        <v>20</v>
      </c>
      <c r="E1077" s="761" t="s">
        <v>1314</v>
      </c>
      <c r="F1077" s="473"/>
      <c r="G1077" s="470"/>
      <c r="H1077" s="470">
        <v>10</v>
      </c>
      <c r="I1077" s="470">
        <v>10</v>
      </c>
      <c r="J1077" s="470"/>
    </row>
    <row r="1078" spans="1:10" s="174" customFormat="1">
      <c r="A1078" s="96">
        <v>350</v>
      </c>
      <c r="B1078" s="786" t="s">
        <v>927</v>
      </c>
      <c r="C1078" s="465">
        <v>1000114001</v>
      </c>
      <c r="D1078" s="470">
        <v>5</v>
      </c>
      <c r="E1078" s="761" t="s">
        <v>1314</v>
      </c>
      <c r="F1078" s="473"/>
      <c r="G1078" s="470"/>
      <c r="H1078" s="470">
        <v>3</v>
      </c>
      <c r="I1078" s="470">
        <v>2</v>
      </c>
      <c r="J1078" s="470"/>
    </row>
    <row r="1079" spans="1:10" s="174" customFormat="1">
      <c r="A1079" s="96">
        <v>351</v>
      </c>
      <c r="B1079" s="786" t="s">
        <v>927</v>
      </c>
      <c r="C1079" s="465">
        <v>1000113999</v>
      </c>
      <c r="D1079" s="470">
        <v>5</v>
      </c>
      <c r="E1079" s="761" t="s">
        <v>1314</v>
      </c>
      <c r="F1079" s="473"/>
      <c r="G1079" s="470"/>
      <c r="H1079" s="470">
        <v>3</v>
      </c>
      <c r="I1079" s="470">
        <v>2</v>
      </c>
      <c r="J1079" s="470"/>
    </row>
    <row r="1080" spans="1:10" s="174" customFormat="1">
      <c r="A1080" s="96">
        <v>352</v>
      </c>
      <c r="B1080" s="786" t="s">
        <v>1522</v>
      </c>
      <c r="C1080" s="465">
        <v>1000115333</v>
      </c>
      <c r="D1080" s="470">
        <v>4</v>
      </c>
      <c r="E1080" s="761" t="s">
        <v>1314</v>
      </c>
      <c r="F1080" s="473"/>
      <c r="G1080" s="470"/>
      <c r="H1080" s="470">
        <v>2</v>
      </c>
      <c r="I1080" s="470">
        <v>2</v>
      </c>
      <c r="J1080" s="470"/>
    </row>
    <row r="1081" spans="1:10" s="174" customFormat="1">
      <c r="A1081" s="96">
        <v>353</v>
      </c>
      <c r="B1081" s="786" t="s">
        <v>1523</v>
      </c>
      <c r="C1081" s="465">
        <v>1000114247</v>
      </c>
      <c r="D1081" s="470">
        <v>2</v>
      </c>
      <c r="E1081" s="761" t="s">
        <v>1314</v>
      </c>
      <c r="F1081" s="473"/>
      <c r="G1081" s="470"/>
      <c r="H1081" s="470">
        <v>2</v>
      </c>
      <c r="I1081" s="470"/>
      <c r="J1081" s="470"/>
    </row>
    <row r="1082" spans="1:10" s="174" customFormat="1">
      <c r="A1082" s="96">
        <v>354</v>
      </c>
      <c r="B1082" s="786" t="s">
        <v>1524</v>
      </c>
      <c r="C1082" s="465">
        <v>1000114119</v>
      </c>
      <c r="D1082" s="470">
        <v>3</v>
      </c>
      <c r="E1082" s="761" t="s">
        <v>1314</v>
      </c>
      <c r="F1082" s="473"/>
      <c r="G1082" s="470"/>
      <c r="H1082" s="470">
        <v>3</v>
      </c>
      <c r="I1082" s="470"/>
      <c r="J1082" s="470"/>
    </row>
    <row r="1083" spans="1:10" s="174" customFormat="1">
      <c r="A1083" s="96">
        <v>355</v>
      </c>
      <c r="B1083" s="786" t="s">
        <v>1525</v>
      </c>
      <c r="C1083" s="465">
        <v>1000114108</v>
      </c>
      <c r="D1083" s="470">
        <v>3</v>
      </c>
      <c r="E1083" s="761" t="s">
        <v>1314</v>
      </c>
      <c r="F1083" s="473"/>
      <c r="G1083" s="470"/>
      <c r="H1083" s="470">
        <v>3</v>
      </c>
      <c r="I1083" s="470"/>
      <c r="J1083" s="470"/>
    </row>
    <row r="1084" spans="1:10" s="174" customFormat="1">
      <c r="A1084" s="96">
        <v>356</v>
      </c>
      <c r="B1084" s="786" t="s">
        <v>1526</v>
      </c>
      <c r="C1084" s="465">
        <v>1000114105</v>
      </c>
      <c r="D1084" s="470">
        <v>2</v>
      </c>
      <c r="E1084" s="761" t="s">
        <v>1314</v>
      </c>
      <c r="F1084" s="473"/>
      <c r="G1084" s="470"/>
      <c r="H1084" s="470">
        <v>2</v>
      </c>
      <c r="I1084" s="470"/>
      <c r="J1084" s="470"/>
    </row>
    <row r="1085" spans="1:10" s="174" customFormat="1">
      <c r="A1085" s="96">
        <v>357</v>
      </c>
      <c r="B1085" s="786" t="s">
        <v>1527</v>
      </c>
      <c r="C1085" s="761">
        <v>1000114099</v>
      </c>
      <c r="D1085" s="470">
        <v>6</v>
      </c>
      <c r="E1085" s="761" t="s">
        <v>1314</v>
      </c>
      <c r="F1085" s="473"/>
      <c r="G1085" s="470"/>
      <c r="H1085" s="470">
        <v>6</v>
      </c>
      <c r="I1085" s="470"/>
      <c r="J1085" s="470"/>
    </row>
    <row r="1086" spans="1:10" s="174" customFormat="1">
      <c r="A1086" s="96">
        <v>358</v>
      </c>
      <c r="B1086" s="786" t="s">
        <v>1528</v>
      </c>
      <c r="C1086" s="761">
        <v>1000115215</v>
      </c>
      <c r="D1086" s="470">
        <v>5</v>
      </c>
      <c r="E1086" s="761" t="s">
        <v>1314</v>
      </c>
      <c r="F1086" s="473"/>
      <c r="G1086" s="470"/>
      <c r="H1086" s="470">
        <v>5</v>
      </c>
      <c r="I1086" s="470"/>
      <c r="J1086" s="470"/>
    </row>
    <row r="1087" spans="1:10" s="174" customFormat="1">
      <c r="A1087" s="96">
        <v>359</v>
      </c>
      <c r="B1087" s="786" t="s">
        <v>1529</v>
      </c>
      <c r="C1087" s="761">
        <v>1000115209</v>
      </c>
      <c r="D1087" s="470">
        <v>5</v>
      </c>
      <c r="E1087" s="761" t="s">
        <v>1314</v>
      </c>
      <c r="F1087" s="473"/>
      <c r="G1087" s="470"/>
      <c r="H1087" s="470">
        <v>5</v>
      </c>
      <c r="I1087" s="470"/>
      <c r="J1087" s="470"/>
    </row>
    <row r="1088" spans="1:10" s="174" customFormat="1">
      <c r="A1088" s="96">
        <v>360</v>
      </c>
      <c r="B1088" s="786" t="s">
        <v>1530</v>
      </c>
      <c r="C1088" s="761">
        <v>1000115214</v>
      </c>
      <c r="D1088" s="470">
        <v>5</v>
      </c>
      <c r="E1088" s="761" t="s">
        <v>1314</v>
      </c>
      <c r="F1088" s="473"/>
      <c r="G1088" s="470"/>
      <c r="H1088" s="470">
        <v>5</v>
      </c>
      <c r="I1088" s="470"/>
      <c r="J1088" s="470"/>
    </row>
    <row r="1089" spans="1:10" s="174" customFormat="1">
      <c r="A1089" s="96">
        <v>361</v>
      </c>
      <c r="B1089" s="786" t="s">
        <v>1531</v>
      </c>
      <c r="C1089" s="761">
        <v>1000115212</v>
      </c>
      <c r="D1089" s="470">
        <v>6</v>
      </c>
      <c r="E1089" s="761" t="s">
        <v>1314</v>
      </c>
      <c r="F1089" s="473"/>
      <c r="G1089" s="470"/>
      <c r="H1089" s="470">
        <v>6</v>
      </c>
      <c r="I1089" s="470"/>
      <c r="J1089" s="470"/>
    </row>
    <row r="1090" spans="1:10" s="174" customFormat="1">
      <c r="A1090" s="96">
        <v>362</v>
      </c>
      <c r="B1090" s="786" t="s">
        <v>1532</v>
      </c>
      <c r="C1090" s="761">
        <v>1000115205</v>
      </c>
      <c r="D1090" s="470">
        <v>2</v>
      </c>
      <c r="E1090" s="761" t="s">
        <v>1314</v>
      </c>
      <c r="F1090" s="473"/>
      <c r="G1090" s="470"/>
      <c r="H1090" s="470">
        <v>2</v>
      </c>
      <c r="I1090" s="470"/>
      <c r="J1090" s="470"/>
    </row>
    <row r="1091" spans="1:10" s="174" customFormat="1">
      <c r="A1091" s="96">
        <v>363</v>
      </c>
      <c r="B1091" s="786" t="s">
        <v>1533</v>
      </c>
      <c r="C1091" s="761">
        <v>1000115210</v>
      </c>
      <c r="D1091" s="470">
        <v>2</v>
      </c>
      <c r="E1091" s="761" t="s">
        <v>1314</v>
      </c>
      <c r="F1091" s="473"/>
      <c r="G1091" s="470"/>
      <c r="H1091" s="470">
        <v>2</v>
      </c>
      <c r="I1091" s="470"/>
      <c r="J1091" s="470"/>
    </row>
    <row r="1092" spans="1:10" s="174" customFormat="1">
      <c r="A1092" s="96">
        <v>364</v>
      </c>
      <c r="B1092" s="786" t="s">
        <v>1534</v>
      </c>
      <c r="C1092" s="761">
        <v>1000115205</v>
      </c>
      <c r="D1092" s="470">
        <v>3</v>
      </c>
      <c r="E1092" s="761" t="s">
        <v>1314</v>
      </c>
      <c r="F1092" s="473"/>
      <c r="G1092" s="470"/>
      <c r="H1092" s="470">
        <v>3</v>
      </c>
      <c r="I1092" s="470"/>
      <c r="J1092" s="470"/>
    </row>
    <row r="1093" spans="1:10" s="174" customFormat="1">
      <c r="A1093" s="96">
        <v>365</v>
      </c>
      <c r="B1093" s="786" t="s">
        <v>1535</v>
      </c>
      <c r="C1093" s="761">
        <v>1000114101</v>
      </c>
      <c r="D1093" s="470">
        <v>2</v>
      </c>
      <c r="E1093" s="761" t="s">
        <v>1314</v>
      </c>
      <c r="F1093" s="473"/>
      <c r="G1093" s="470"/>
      <c r="H1093" s="470">
        <v>2</v>
      </c>
      <c r="I1093" s="470"/>
      <c r="J1093" s="470"/>
    </row>
    <row r="1094" spans="1:10" s="174" customFormat="1">
      <c r="A1094" s="96">
        <v>366</v>
      </c>
      <c r="B1094" s="786" t="s">
        <v>1347</v>
      </c>
      <c r="C1094" s="761">
        <v>1000113869</v>
      </c>
      <c r="D1094" s="470">
        <v>1</v>
      </c>
      <c r="E1094" s="761" t="s">
        <v>1314</v>
      </c>
      <c r="F1094" s="473"/>
      <c r="G1094" s="470"/>
      <c r="H1094" s="470">
        <v>1</v>
      </c>
      <c r="I1094" s="470"/>
      <c r="J1094" s="470"/>
    </row>
    <row r="1095" spans="1:10" s="174" customFormat="1">
      <c r="A1095" s="96">
        <v>367</v>
      </c>
      <c r="B1095" s="786" t="s">
        <v>1536</v>
      </c>
      <c r="C1095" s="761">
        <v>1000113868</v>
      </c>
      <c r="D1095" s="470">
        <v>1</v>
      </c>
      <c r="E1095" s="761" t="s">
        <v>1314</v>
      </c>
      <c r="F1095" s="473"/>
      <c r="G1095" s="470"/>
      <c r="H1095" s="470">
        <v>1</v>
      </c>
      <c r="I1095" s="470"/>
      <c r="J1095" s="470"/>
    </row>
    <row r="1096" spans="1:10" s="174" customFormat="1">
      <c r="A1096" s="96">
        <v>368</v>
      </c>
      <c r="B1096" s="786" t="s">
        <v>1537</v>
      </c>
      <c r="C1096" s="761">
        <v>1000113872</v>
      </c>
      <c r="D1096" s="470">
        <v>2</v>
      </c>
      <c r="E1096" s="761" t="s">
        <v>1314</v>
      </c>
      <c r="F1096" s="473"/>
      <c r="G1096" s="470"/>
      <c r="H1096" s="470">
        <v>2</v>
      </c>
      <c r="I1096" s="470"/>
      <c r="J1096" s="470"/>
    </row>
    <row r="1097" spans="1:10" s="174" customFormat="1">
      <c r="A1097" s="96">
        <v>369</v>
      </c>
      <c r="B1097" s="786" t="s">
        <v>875</v>
      </c>
      <c r="C1097" s="761">
        <v>1000113873</v>
      </c>
      <c r="D1097" s="470">
        <v>2</v>
      </c>
      <c r="E1097" s="761" t="s">
        <v>1314</v>
      </c>
      <c r="F1097" s="473"/>
      <c r="G1097" s="470"/>
      <c r="H1097" s="470">
        <v>2</v>
      </c>
      <c r="I1097" s="470"/>
      <c r="J1097" s="470"/>
    </row>
    <row r="1098" spans="1:10" s="174" customFormat="1">
      <c r="A1098" s="96">
        <v>370</v>
      </c>
      <c r="B1098" s="786" t="s">
        <v>1400</v>
      </c>
      <c r="C1098" s="761">
        <v>1000113904</v>
      </c>
      <c r="D1098" s="470">
        <v>30</v>
      </c>
      <c r="E1098" s="761" t="s">
        <v>1314</v>
      </c>
      <c r="F1098" s="473"/>
      <c r="G1098" s="470"/>
      <c r="H1098" s="470">
        <v>30</v>
      </c>
      <c r="I1098" s="470"/>
      <c r="J1098" s="470"/>
    </row>
    <row r="1099" spans="1:10" s="174" customFormat="1">
      <c r="A1099" s="96">
        <v>371</v>
      </c>
      <c r="B1099" s="786" t="s">
        <v>869</v>
      </c>
      <c r="C1099" s="761">
        <v>1000113879</v>
      </c>
      <c r="D1099" s="470">
        <v>4</v>
      </c>
      <c r="E1099" s="761" t="s">
        <v>1314</v>
      </c>
      <c r="F1099" s="473"/>
      <c r="G1099" s="470"/>
      <c r="H1099" s="470">
        <v>2</v>
      </c>
      <c r="I1099" s="470">
        <v>2</v>
      </c>
      <c r="J1099" s="470"/>
    </row>
    <row r="1100" spans="1:10" s="174" customFormat="1">
      <c r="A1100" s="96">
        <v>372</v>
      </c>
      <c r="B1100" s="786" t="s">
        <v>1538</v>
      </c>
      <c r="C1100" s="761">
        <v>306494</v>
      </c>
      <c r="D1100" s="470">
        <v>20</v>
      </c>
      <c r="E1100" s="761" t="s">
        <v>1314</v>
      </c>
      <c r="F1100" s="473"/>
      <c r="G1100" s="470"/>
      <c r="H1100" s="470">
        <v>10</v>
      </c>
      <c r="I1100" s="470">
        <v>10</v>
      </c>
      <c r="J1100" s="470"/>
    </row>
    <row r="1101" spans="1:10" s="174" customFormat="1">
      <c r="A1101" s="96">
        <v>373</v>
      </c>
      <c r="B1101" s="786" t="s">
        <v>1539</v>
      </c>
      <c r="C1101" s="761">
        <v>3546752</v>
      </c>
      <c r="D1101" s="470">
        <v>20</v>
      </c>
      <c r="E1101" s="761" t="s">
        <v>1314</v>
      </c>
      <c r="F1101" s="473"/>
      <c r="G1101" s="470"/>
      <c r="H1101" s="470">
        <v>10</v>
      </c>
      <c r="I1101" s="470">
        <v>10</v>
      </c>
      <c r="J1101" s="470"/>
    </row>
    <row r="1102" spans="1:10" s="174" customFormat="1">
      <c r="A1102" s="96">
        <v>374</v>
      </c>
      <c r="B1102" s="786" t="s">
        <v>1407</v>
      </c>
      <c r="C1102" s="761">
        <v>1000113922</v>
      </c>
      <c r="D1102" s="470">
        <v>1</v>
      </c>
      <c r="E1102" s="761" t="s">
        <v>1314</v>
      </c>
      <c r="F1102" s="473"/>
      <c r="G1102" s="470"/>
      <c r="H1102" s="470">
        <v>1</v>
      </c>
      <c r="I1102" s="470"/>
      <c r="J1102" s="470"/>
    </row>
    <row r="1103" spans="1:10" s="174" customFormat="1">
      <c r="A1103" s="96">
        <v>375</v>
      </c>
      <c r="B1103" s="786" t="s">
        <v>1400</v>
      </c>
      <c r="C1103" s="761">
        <v>1000113946</v>
      </c>
      <c r="D1103" s="470">
        <v>100</v>
      </c>
      <c r="E1103" s="761" t="s">
        <v>1314</v>
      </c>
      <c r="F1103" s="473"/>
      <c r="G1103" s="470"/>
      <c r="H1103" s="470">
        <v>100</v>
      </c>
      <c r="I1103" s="470"/>
      <c r="J1103" s="470"/>
    </row>
    <row r="1104" spans="1:10" s="174" customFormat="1">
      <c r="A1104" s="96">
        <v>376</v>
      </c>
      <c r="B1104" s="786" t="s">
        <v>1540</v>
      </c>
      <c r="C1104" s="465">
        <v>1000113949</v>
      </c>
      <c r="D1104" s="470">
        <v>1</v>
      </c>
      <c r="E1104" s="761" t="s">
        <v>1314</v>
      </c>
      <c r="F1104" s="473"/>
      <c r="G1104" s="470"/>
      <c r="H1104" s="470">
        <v>1</v>
      </c>
      <c r="I1104" s="470"/>
      <c r="J1104" s="470"/>
    </row>
    <row r="1105" spans="1:10" s="174" customFormat="1">
      <c r="A1105" s="96">
        <v>377</v>
      </c>
      <c r="B1105" s="786" t="s">
        <v>1541</v>
      </c>
      <c r="C1105" s="465">
        <v>1000115352</v>
      </c>
      <c r="D1105" s="470">
        <v>1</v>
      </c>
      <c r="E1105" s="761" t="s">
        <v>1314</v>
      </c>
      <c r="F1105" s="473"/>
      <c r="G1105" s="470"/>
      <c r="H1105" s="470">
        <v>1</v>
      </c>
      <c r="I1105" s="470"/>
      <c r="J1105" s="470"/>
    </row>
    <row r="1106" spans="1:10" s="174" customFormat="1">
      <c r="A1106" s="96">
        <v>378</v>
      </c>
      <c r="B1106" s="786" t="s">
        <v>1542</v>
      </c>
      <c r="C1106" s="465">
        <v>3543526</v>
      </c>
      <c r="D1106" s="470">
        <v>5</v>
      </c>
      <c r="E1106" s="761" t="s">
        <v>1314</v>
      </c>
      <c r="F1106" s="473"/>
      <c r="G1106" s="470"/>
      <c r="H1106" s="470">
        <v>3</v>
      </c>
      <c r="I1106" s="470">
        <v>2</v>
      </c>
      <c r="J1106" s="470"/>
    </row>
    <row r="1107" spans="1:10" s="174" customFormat="1" ht="18.75">
      <c r="A1107" s="1030" t="s">
        <v>1543</v>
      </c>
      <c r="B1107" s="1030"/>
      <c r="C1107" s="1030"/>
      <c r="D1107" s="1030"/>
      <c r="E1107" s="1030"/>
      <c r="F1107" s="1030"/>
      <c r="G1107" s="1030"/>
      <c r="H1107" s="1030"/>
      <c r="I1107" s="1030"/>
      <c r="J1107" s="1030"/>
    </row>
    <row r="1108" spans="1:10" s="174" customFormat="1">
      <c r="A1108" s="96">
        <v>379</v>
      </c>
      <c r="B1108" s="786" t="s">
        <v>1338</v>
      </c>
      <c r="C1108" s="465" t="s">
        <v>1544</v>
      </c>
      <c r="D1108" s="470">
        <v>2</v>
      </c>
      <c r="E1108" s="761" t="s">
        <v>1314</v>
      </c>
      <c r="F1108" s="473"/>
      <c r="G1108" s="470"/>
      <c r="H1108" s="470">
        <v>2</v>
      </c>
      <c r="I1108" s="470"/>
      <c r="J1108" s="470"/>
    </row>
    <row r="1109" spans="1:10" s="174" customFormat="1">
      <c r="A1109" s="96">
        <v>380</v>
      </c>
      <c r="B1109" s="786" t="s">
        <v>1413</v>
      </c>
      <c r="C1109" s="465" t="s">
        <v>1545</v>
      </c>
      <c r="D1109" s="470">
        <v>64</v>
      </c>
      <c r="E1109" s="761" t="s">
        <v>1314</v>
      </c>
      <c r="F1109" s="473"/>
      <c r="G1109" s="470"/>
      <c r="H1109" s="470">
        <v>32</v>
      </c>
      <c r="I1109" s="470">
        <v>32</v>
      </c>
      <c r="J1109" s="470"/>
    </row>
    <row r="1110" spans="1:10" s="174" customFormat="1">
      <c r="A1110" s="96">
        <v>381</v>
      </c>
      <c r="B1110" s="786" t="s">
        <v>1546</v>
      </c>
      <c r="C1110" s="465" t="s">
        <v>1547</v>
      </c>
      <c r="D1110" s="470">
        <v>2</v>
      </c>
      <c r="E1110" s="761" t="s">
        <v>1314</v>
      </c>
      <c r="F1110" s="473"/>
      <c r="G1110" s="470"/>
      <c r="H1110" s="470">
        <v>2</v>
      </c>
      <c r="I1110" s="470"/>
      <c r="J1110" s="470"/>
    </row>
    <row r="1111" spans="1:10" s="174" customFormat="1">
      <c r="A1111" s="96">
        <v>382</v>
      </c>
      <c r="B1111" s="786" t="s">
        <v>1548</v>
      </c>
      <c r="C1111" s="465" t="s">
        <v>1549</v>
      </c>
      <c r="D1111" s="470">
        <v>8</v>
      </c>
      <c r="E1111" s="761" t="s">
        <v>1314</v>
      </c>
      <c r="F1111" s="473"/>
      <c r="G1111" s="470"/>
      <c r="H1111" s="470">
        <v>8</v>
      </c>
      <c r="I1111" s="470"/>
      <c r="J1111" s="470"/>
    </row>
    <row r="1112" spans="1:10" s="174" customFormat="1">
      <c r="A1112" s="96">
        <v>383</v>
      </c>
      <c r="B1112" s="786" t="s">
        <v>1550</v>
      </c>
      <c r="C1112" s="465" t="s">
        <v>1551</v>
      </c>
      <c r="D1112" s="470">
        <v>1</v>
      </c>
      <c r="E1112" s="761" t="s">
        <v>1314</v>
      </c>
      <c r="F1112" s="473"/>
      <c r="G1112" s="470"/>
      <c r="H1112" s="470">
        <v>1</v>
      </c>
      <c r="I1112" s="470"/>
      <c r="J1112" s="470"/>
    </row>
    <row r="1113" spans="1:10" s="174" customFormat="1">
      <c r="A1113" s="96">
        <v>384</v>
      </c>
      <c r="B1113" s="786" t="s">
        <v>1359</v>
      </c>
      <c r="C1113" s="465" t="s">
        <v>1552</v>
      </c>
      <c r="D1113" s="470">
        <v>8</v>
      </c>
      <c r="E1113" s="761" t="s">
        <v>1314</v>
      </c>
      <c r="F1113" s="473"/>
      <c r="G1113" s="470"/>
      <c r="H1113" s="470">
        <v>8</v>
      </c>
      <c r="I1113" s="470"/>
      <c r="J1113" s="470"/>
    </row>
    <row r="1114" spans="1:10" s="174" customFormat="1">
      <c r="A1114" s="96">
        <v>385</v>
      </c>
      <c r="B1114" s="786" t="s">
        <v>1553</v>
      </c>
      <c r="C1114" s="465" t="s">
        <v>1554</v>
      </c>
      <c r="D1114" s="470">
        <v>4</v>
      </c>
      <c r="E1114" s="761" t="s">
        <v>1314</v>
      </c>
      <c r="F1114" s="473"/>
      <c r="G1114" s="470"/>
      <c r="H1114" s="470">
        <v>4</v>
      </c>
      <c r="I1114" s="470"/>
      <c r="J1114" s="470"/>
    </row>
    <row r="1115" spans="1:10" s="174" customFormat="1">
      <c r="A1115" s="96">
        <v>386</v>
      </c>
      <c r="B1115" s="786" t="s">
        <v>1359</v>
      </c>
      <c r="C1115" s="465" t="s">
        <v>1555</v>
      </c>
      <c r="D1115" s="470">
        <v>8</v>
      </c>
      <c r="E1115" s="761" t="s">
        <v>1314</v>
      </c>
      <c r="F1115" s="473"/>
      <c r="G1115" s="470"/>
      <c r="H1115" s="470">
        <v>8</v>
      </c>
      <c r="I1115" s="470"/>
      <c r="J1115" s="470"/>
    </row>
    <row r="1116" spans="1:10" s="174" customFormat="1">
      <c r="A1116" s="96">
        <v>387</v>
      </c>
      <c r="B1116" s="786" t="s">
        <v>1556</v>
      </c>
      <c r="C1116" s="465" t="s">
        <v>1557</v>
      </c>
      <c r="D1116" s="470">
        <v>1</v>
      </c>
      <c r="E1116" s="761" t="s">
        <v>1314</v>
      </c>
      <c r="F1116" s="473"/>
      <c r="G1116" s="470"/>
      <c r="H1116" s="470">
        <v>1</v>
      </c>
      <c r="I1116" s="470"/>
      <c r="J1116" s="470"/>
    </row>
    <row r="1117" spans="1:10" s="174" customFormat="1">
      <c r="A1117" s="96">
        <v>388</v>
      </c>
      <c r="B1117" s="786" t="s">
        <v>1507</v>
      </c>
      <c r="C1117" s="465" t="s">
        <v>1558</v>
      </c>
      <c r="D1117" s="470">
        <v>2</v>
      </c>
      <c r="E1117" s="761" t="s">
        <v>1314</v>
      </c>
      <c r="F1117" s="473"/>
      <c r="G1117" s="470"/>
      <c r="H1117" s="470">
        <v>2</v>
      </c>
      <c r="I1117" s="470"/>
      <c r="J1117" s="470"/>
    </row>
    <row r="1118" spans="1:10" s="174" customFormat="1">
      <c r="A1118" s="96">
        <v>389</v>
      </c>
      <c r="B1118" s="786" t="s">
        <v>1423</v>
      </c>
      <c r="C1118" s="465" t="s">
        <v>1559</v>
      </c>
      <c r="D1118" s="470">
        <v>2</v>
      </c>
      <c r="E1118" s="761" t="s">
        <v>1314</v>
      </c>
      <c r="F1118" s="473"/>
      <c r="G1118" s="470"/>
      <c r="H1118" s="470">
        <v>2</v>
      </c>
      <c r="I1118" s="470"/>
      <c r="J1118" s="470"/>
    </row>
    <row r="1119" spans="1:10" s="174" customFormat="1">
      <c r="A1119" s="96">
        <v>390</v>
      </c>
      <c r="B1119" s="786" t="s">
        <v>1498</v>
      </c>
      <c r="C1119" s="465" t="s">
        <v>1560</v>
      </c>
      <c r="D1119" s="470">
        <v>2</v>
      </c>
      <c r="E1119" s="761" t="s">
        <v>1314</v>
      </c>
      <c r="F1119" s="473"/>
      <c r="G1119" s="470"/>
      <c r="H1119" s="470">
        <v>2</v>
      </c>
      <c r="I1119" s="470"/>
      <c r="J1119" s="470"/>
    </row>
    <row r="1120" spans="1:10" s="174" customFormat="1">
      <c r="A1120" s="96">
        <v>391</v>
      </c>
      <c r="B1120" s="786" t="s">
        <v>1500</v>
      </c>
      <c r="C1120" s="465" t="s">
        <v>1561</v>
      </c>
      <c r="D1120" s="470">
        <v>2</v>
      </c>
      <c r="E1120" s="761" t="s">
        <v>1314</v>
      </c>
      <c r="F1120" s="473"/>
      <c r="G1120" s="470"/>
      <c r="H1120" s="470">
        <v>2</v>
      </c>
      <c r="I1120" s="470"/>
      <c r="J1120" s="470"/>
    </row>
    <row r="1121" spans="1:10" s="174" customFormat="1">
      <c r="A1121" s="96">
        <v>392</v>
      </c>
      <c r="B1121" s="786" t="s">
        <v>1562</v>
      </c>
      <c r="C1121" s="465" t="s">
        <v>1563</v>
      </c>
      <c r="D1121" s="470">
        <v>16</v>
      </c>
      <c r="E1121" s="761" t="s">
        <v>1314</v>
      </c>
      <c r="F1121" s="473"/>
      <c r="G1121" s="470"/>
      <c r="H1121" s="470">
        <v>16</v>
      </c>
      <c r="I1121" s="470"/>
      <c r="J1121" s="470"/>
    </row>
    <row r="1122" spans="1:10" s="174" customFormat="1">
      <c r="A1122" s="96">
        <v>393</v>
      </c>
      <c r="B1122" s="786" t="s">
        <v>1523</v>
      </c>
      <c r="C1122" s="465" t="s">
        <v>1564</v>
      </c>
      <c r="D1122" s="470">
        <v>2</v>
      </c>
      <c r="E1122" s="761" t="s">
        <v>1314</v>
      </c>
      <c r="F1122" s="473"/>
      <c r="G1122" s="470"/>
      <c r="H1122" s="470">
        <v>2</v>
      </c>
      <c r="I1122" s="470"/>
      <c r="J1122" s="470"/>
    </row>
    <row r="1123" spans="1:10" s="174" customFormat="1">
      <c r="A1123" s="96">
        <v>394</v>
      </c>
      <c r="B1123" s="786" t="s">
        <v>1499</v>
      </c>
      <c r="C1123" s="465" t="s">
        <v>2008</v>
      </c>
      <c r="D1123" s="470">
        <v>2</v>
      </c>
      <c r="E1123" s="761" t="s">
        <v>1314</v>
      </c>
      <c r="F1123" s="761"/>
      <c r="G1123" s="470"/>
      <c r="H1123" s="470">
        <v>1</v>
      </c>
      <c r="I1123" s="470">
        <v>1</v>
      </c>
      <c r="J1123" s="470"/>
    </row>
    <row r="1124" spans="1:10" s="174" customFormat="1" ht="18.75" customHeight="1">
      <c r="A1124" s="1030" t="s">
        <v>1565</v>
      </c>
      <c r="B1124" s="1030"/>
      <c r="C1124" s="1030"/>
      <c r="D1124" s="1030"/>
      <c r="E1124" s="1030"/>
      <c r="F1124" s="1030"/>
      <c r="G1124" s="1030"/>
      <c r="H1124" s="1030"/>
      <c r="I1124" s="1030"/>
      <c r="J1124" s="1030"/>
    </row>
    <row r="1125" spans="1:10" s="174" customFormat="1">
      <c r="A1125" s="96">
        <v>395</v>
      </c>
      <c r="B1125" s="786" t="s">
        <v>1566</v>
      </c>
      <c r="C1125" s="465" t="s">
        <v>1567</v>
      </c>
      <c r="D1125" s="470">
        <v>240</v>
      </c>
      <c r="E1125" s="761" t="s">
        <v>1314</v>
      </c>
      <c r="F1125" s="473"/>
      <c r="G1125" s="470"/>
      <c r="H1125" s="470">
        <v>120</v>
      </c>
      <c r="I1125" s="470">
        <v>120</v>
      </c>
      <c r="J1125" s="470"/>
    </row>
    <row r="1126" spans="1:10" s="174" customFormat="1">
      <c r="A1126" s="96">
        <v>396</v>
      </c>
      <c r="B1126" s="786" t="s">
        <v>1568</v>
      </c>
      <c r="C1126" s="465" t="s">
        <v>1569</v>
      </c>
      <c r="D1126" s="470">
        <v>240</v>
      </c>
      <c r="E1126" s="761" t="s">
        <v>1314</v>
      </c>
      <c r="F1126" s="473"/>
      <c r="G1126" s="470"/>
      <c r="H1126" s="470">
        <v>120</v>
      </c>
      <c r="I1126" s="470">
        <v>120</v>
      </c>
      <c r="J1126" s="470"/>
    </row>
    <row r="1127" spans="1:10" s="174" customFormat="1">
      <c r="A1127" s="96">
        <v>397</v>
      </c>
      <c r="B1127" s="786" t="s">
        <v>1568</v>
      </c>
      <c r="C1127" s="465" t="s">
        <v>1570</v>
      </c>
      <c r="D1127" s="470">
        <v>240</v>
      </c>
      <c r="E1127" s="761" t="s">
        <v>1314</v>
      </c>
      <c r="F1127" s="473"/>
      <c r="G1127" s="470"/>
      <c r="H1127" s="470">
        <v>120</v>
      </c>
      <c r="I1127" s="470">
        <v>120</v>
      </c>
      <c r="J1127" s="470"/>
    </row>
    <row r="1128" spans="1:10" s="174" customFormat="1">
      <c r="A1128" s="96">
        <v>398</v>
      </c>
      <c r="B1128" s="786" t="s">
        <v>1571</v>
      </c>
      <c r="C1128" s="465" t="s">
        <v>1572</v>
      </c>
      <c r="D1128" s="470">
        <v>120</v>
      </c>
      <c r="E1128" s="761" t="s">
        <v>1314</v>
      </c>
      <c r="F1128" s="1054" t="s">
        <v>2009</v>
      </c>
      <c r="G1128" s="470"/>
      <c r="H1128" s="470">
        <v>60</v>
      </c>
      <c r="I1128" s="470">
        <v>60</v>
      </c>
      <c r="J1128" s="470"/>
    </row>
    <row r="1129" spans="1:10" s="174" customFormat="1">
      <c r="A1129" s="96">
        <v>399</v>
      </c>
      <c r="B1129" s="786" t="s">
        <v>1571</v>
      </c>
      <c r="C1129" s="465" t="s">
        <v>1573</v>
      </c>
      <c r="D1129" s="470">
        <v>120</v>
      </c>
      <c r="E1129" s="761" t="s">
        <v>1314</v>
      </c>
      <c r="F1129" s="1055"/>
      <c r="G1129" s="470"/>
      <c r="H1129" s="470">
        <v>60</v>
      </c>
      <c r="I1129" s="470">
        <v>60</v>
      </c>
      <c r="J1129" s="470"/>
    </row>
    <row r="1130" spans="1:10" s="174" customFormat="1">
      <c r="A1130" s="96">
        <v>400</v>
      </c>
      <c r="B1130" s="786" t="s">
        <v>1571</v>
      </c>
      <c r="C1130" s="465" t="s">
        <v>1574</v>
      </c>
      <c r="D1130" s="470">
        <v>60</v>
      </c>
      <c r="E1130" s="761" t="s">
        <v>1314</v>
      </c>
      <c r="F1130" s="1054" t="s">
        <v>1543</v>
      </c>
      <c r="G1130" s="470"/>
      <c r="H1130" s="470">
        <v>30</v>
      </c>
      <c r="I1130" s="470">
        <v>30</v>
      </c>
      <c r="J1130" s="470"/>
    </row>
    <row r="1131" spans="1:10" s="174" customFormat="1">
      <c r="A1131" s="96">
        <v>401</v>
      </c>
      <c r="B1131" s="786" t="s">
        <v>1571</v>
      </c>
      <c r="C1131" s="465" t="s">
        <v>1575</v>
      </c>
      <c r="D1131" s="470">
        <v>60</v>
      </c>
      <c r="E1131" s="761" t="s">
        <v>1314</v>
      </c>
      <c r="F1131" s="1055"/>
      <c r="G1131" s="470"/>
      <c r="H1131" s="470">
        <v>30</v>
      </c>
      <c r="I1131" s="470">
        <v>30</v>
      </c>
      <c r="J1131" s="470"/>
    </row>
    <row r="1132" spans="1:10" s="174" customFormat="1">
      <c r="A1132" s="96">
        <v>402</v>
      </c>
      <c r="B1132" s="786" t="s">
        <v>1576</v>
      </c>
      <c r="C1132" s="465">
        <v>3974823</v>
      </c>
      <c r="D1132" s="470">
        <v>5</v>
      </c>
      <c r="E1132" s="761" t="s">
        <v>1314</v>
      </c>
      <c r="F1132" s="473"/>
      <c r="G1132" s="470"/>
      <c r="H1132" s="470">
        <v>3</v>
      </c>
      <c r="I1132" s="470">
        <v>2</v>
      </c>
      <c r="J1132" s="470"/>
    </row>
    <row r="1133" spans="1:10" s="174" customFormat="1">
      <c r="A1133" s="96">
        <v>403</v>
      </c>
      <c r="B1133" s="786" t="s">
        <v>1577</v>
      </c>
      <c r="C1133" s="468" t="s">
        <v>1578</v>
      </c>
      <c r="D1133" s="470">
        <v>2</v>
      </c>
      <c r="E1133" s="761" t="s">
        <v>1314</v>
      </c>
      <c r="F1133" s="473"/>
      <c r="G1133" s="470"/>
      <c r="H1133" s="470">
        <v>1</v>
      </c>
      <c r="I1133" s="470">
        <v>1</v>
      </c>
      <c r="J1133" s="470"/>
    </row>
    <row r="1134" spans="1:10" s="174" customFormat="1">
      <c r="A1134" s="96">
        <v>404</v>
      </c>
      <c r="B1134" s="786" t="s">
        <v>1579</v>
      </c>
      <c r="C1134" s="465">
        <v>3910739</v>
      </c>
      <c r="D1134" s="470">
        <v>2</v>
      </c>
      <c r="E1134" s="761" t="s">
        <v>1314</v>
      </c>
      <c r="F1134" s="473"/>
      <c r="G1134" s="470"/>
      <c r="H1134" s="470">
        <v>2</v>
      </c>
      <c r="I1134" s="470"/>
      <c r="J1134" s="470"/>
    </row>
    <row r="1135" spans="1:10" s="174" customFormat="1">
      <c r="A1135" s="96">
        <v>405</v>
      </c>
      <c r="B1135" s="786" t="s">
        <v>2010</v>
      </c>
      <c r="C1135" s="465">
        <v>4988594</v>
      </c>
      <c r="D1135" s="470">
        <v>1</v>
      </c>
      <c r="E1135" s="761" t="s">
        <v>1314</v>
      </c>
      <c r="F1135" s="473"/>
      <c r="G1135" s="470"/>
      <c r="H1135" s="470">
        <v>1</v>
      </c>
      <c r="I1135" s="470"/>
      <c r="J1135" s="470"/>
    </row>
    <row r="1136" spans="1:10" s="174" customFormat="1">
      <c r="A1136" s="96">
        <v>406</v>
      </c>
      <c r="B1136" s="786" t="s">
        <v>1580</v>
      </c>
      <c r="C1136" s="465">
        <v>3975818</v>
      </c>
      <c r="D1136" s="470">
        <v>2</v>
      </c>
      <c r="E1136" s="761" t="s">
        <v>1314</v>
      </c>
      <c r="F1136" s="473"/>
      <c r="G1136" s="470"/>
      <c r="H1136" s="470">
        <v>1</v>
      </c>
      <c r="I1136" s="470">
        <v>1</v>
      </c>
      <c r="J1136" s="470"/>
    </row>
    <row r="1137" spans="1:10" s="174" customFormat="1">
      <c r="A1137" s="96">
        <v>407</v>
      </c>
      <c r="B1137" s="786" t="s">
        <v>1581</v>
      </c>
      <c r="C1137" s="465">
        <v>2830559</v>
      </c>
      <c r="D1137" s="470">
        <v>6</v>
      </c>
      <c r="E1137" s="761" t="s">
        <v>1314</v>
      </c>
      <c r="F1137" s="473"/>
      <c r="G1137" s="470"/>
      <c r="H1137" s="470">
        <v>3</v>
      </c>
      <c r="I1137" s="470">
        <v>3</v>
      </c>
      <c r="J1137" s="470"/>
    </row>
    <row r="1138" spans="1:10" s="174" customFormat="1">
      <c r="A1138" s="96">
        <v>408</v>
      </c>
      <c r="B1138" s="786" t="s">
        <v>1582</v>
      </c>
      <c r="C1138" s="465">
        <v>3974127</v>
      </c>
      <c r="D1138" s="470">
        <v>6</v>
      </c>
      <c r="E1138" s="761" t="s">
        <v>1314</v>
      </c>
      <c r="F1138" s="473"/>
      <c r="G1138" s="470"/>
      <c r="H1138" s="470">
        <v>3</v>
      </c>
      <c r="I1138" s="470">
        <v>3</v>
      </c>
      <c r="J1138" s="470"/>
    </row>
    <row r="1139" spans="1:10" s="174" customFormat="1">
      <c r="A1139" s="96">
        <v>409</v>
      </c>
      <c r="B1139" s="786" t="s">
        <v>1583</v>
      </c>
      <c r="C1139" s="465">
        <v>4921776</v>
      </c>
      <c r="D1139" s="470">
        <v>1</v>
      </c>
      <c r="E1139" s="761" t="s">
        <v>1314</v>
      </c>
      <c r="F1139" s="473"/>
      <c r="G1139" s="470"/>
      <c r="H1139" s="470">
        <v>1</v>
      </c>
      <c r="I1139" s="470"/>
      <c r="J1139" s="470"/>
    </row>
    <row r="1140" spans="1:10" s="174" customFormat="1">
      <c r="A1140" s="96">
        <v>410</v>
      </c>
      <c r="B1140" s="786" t="s">
        <v>2011</v>
      </c>
      <c r="C1140" s="465">
        <v>4932210</v>
      </c>
      <c r="D1140" s="470">
        <v>1</v>
      </c>
      <c r="E1140" s="761" t="s">
        <v>1314</v>
      </c>
      <c r="F1140" s="473"/>
      <c r="G1140" s="470"/>
      <c r="H1140" s="470">
        <v>1</v>
      </c>
      <c r="I1140" s="470"/>
      <c r="J1140" s="470"/>
    </row>
    <row r="1141" spans="1:10" s="174" customFormat="1">
      <c r="A1141" s="96">
        <v>411</v>
      </c>
      <c r="B1141" s="786" t="s">
        <v>1488</v>
      </c>
      <c r="C1141" s="465">
        <v>5263262</v>
      </c>
      <c r="D1141" s="470">
        <v>12</v>
      </c>
      <c r="E1141" s="761" t="s">
        <v>1314</v>
      </c>
      <c r="F1141" s="473"/>
      <c r="G1141" s="470"/>
      <c r="H1141" s="470">
        <v>6</v>
      </c>
      <c r="I1141" s="470">
        <v>6</v>
      </c>
      <c r="J1141" s="470"/>
    </row>
    <row r="1142" spans="1:10" s="174" customFormat="1">
      <c r="A1142" s="96">
        <v>412</v>
      </c>
      <c r="B1142" s="786" t="s">
        <v>1584</v>
      </c>
      <c r="C1142" s="465">
        <v>4038597</v>
      </c>
      <c r="D1142" s="470">
        <v>2</v>
      </c>
      <c r="E1142" s="761" t="s">
        <v>1314</v>
      </c>
      <c r="F1142" s="473"/>
      <c r="G1142" s="470"/>
      <c r="H1142" s="470">
        <v>1</v>
      </c>
      <c r="I1142" s="470">
        <v>1</v>
      </c>
      <c r="J1142" s="470"/>
    </row>
    <row r="1143" spans="1:10" s="174" customFormat="1">
      <c r="A1143" s="96">
        <v>413</v>
      </c>
      <c r="B1143" s="786" t="s">
        <v>1585</v>
      </c>
      <c r="C1143" s="465">
        <v>3965281</v>
      </c>
      <c r="D1143" s="470">
        <v>2</v>
      </c>
      <c r="E1143" s="761" t="s">
        <v>1314</v>
      </c>
      <c r="F1143" s="473"/>
      <c r="G1143" s="470"/>
      <c r="H1143" s="470">
        <v>1</v>
      </c>
      <c r="I1143" s="470">
        <v>1</v>
      </c>
      <c r="J1143" s="470"/>
    </row>
    <row r="1144" spans="1:10" s="174" customFormat="1">
      <c r="A1144" s="96">
        <v>414</v>
      </c>
      <c r="B1144" s="786" t="s">
        <v>1586</v>
      </c>
      <c r="C1144" s="465">
        <v>5266422</v>
      </c>
      <c r="D1144" s="470">
        <v>24</v>
      </c>
      <c r="E1144" s="761" t="s">
        <v>1314</v>
      </c>
      <c r="F1144" s="473"/>
      <c r="G1144" s="470"/>
      <c r="H1144" s="470">
        <v>24</v>
      </c>
      <c r="I1144" s="470"/>
      <c r="J1144" s="470"/>
    </row>
    <row r="1145" spans="1:10" s="174" customFormat="1">
      <c r="A1145" s="96">
        <v>415</v>
      </c>
      <c r="B1145" s="786" t="s">
        <v>1587</v>
      </c>
      <c r="C1145" s="465">
        <v>3289952</v>
      </c>
      <c r="D1145" s="470">
        <v>20</v>
      </c>
      <c r="E1145" s="761" t="s">
        <v>1314</v>
      </c>
      <c r="F1145" s="473"/>
      <c r="G1145" s="470"/>
      <c r="H1145" s="470">
        <v>10</v>
      </c>
      <c r="I1145" s="470">
        <v>10</v>
      </c>
      <c r="J1145" s="470"/>
    </row>
    <row r="1146" spans="1:10" s="174" customFormat="1">
      <c r="A1146" s="96">
        <v>416</v>
      </c>
      <c r="B1146" s="786" t="s">
        <v>1588</v>
      </c>
      <c r="C1146" s="465">
        <v>3976834</v>
      </c>
      <c r="D1146" s="470">
        <v>2</v>
      </c>
      <c r="E1146" s="761" t="s">
        <v>1314</v>
      </c>
      <c r="F1146" s="473"/>
      <c r="G1146" s="470"/>
      <c r="H1146" s="470">
        <v>1</v>
      </c>
      <c r="I1146" s="470">
        <v>1</v>
      </c>
      <c r="J1146" s="470"/>
    </row>
    <row r="1147" spans="1:10" s="174" customFormat="1">
      <c r="A1147" s="96">
        <v>417</v>
      </c>
      <c r="B1147" s="786" t="s">
        <v>1589</v>
      </c>
      <c r="C1147" s="465">
        <v>3800984</v>
      </c>
      <c r="D1147" s="470">
        <v>4</v>
      </c>
      <c r="E1147" s="761" t="s">
        <v>1314</v>
      </c>
      <c r="F1147" s="473"/>
      <c r="G1147" s="470"/>
      <c r="H1147" s="470">
        <v>2</v>
      </c>
      <c r="I1147" s="470">
        <v>2</v>
      </c>
      <c r="J1147" s="470"/>
    </row>
    <row r="1148" spans="1:10" s="174" customFormat="1">
      <c r="A1148" s="96">
        <v>418</v>
      </c>
      <c r="B1148" s="786" t="s">
        <v>1590</v>
      </c>
      <c r="C1148" s="465">
        <v>4955229</v>
      </c>
      <c r="D1148" s="470">
        <v>1</v>
      </c>
      <c r="E1148" s="761" t="s">
        <v>1314</v>
      </c>
      <c r="F1148" s="473"/>
      <c r="G1148" s="470"/>
      <c r="H1148" s="470">
        <v>1</v>
      </c>
      <c r="I1148" s="470"/>
      <c r="J1148" s="470"/>
    </row>
    <row r="1149" spans="1:10" s="174" customFormat="1">
      <c r="A1149" s="96">
        <v>419</v>
      </c>
      <c r="B1149" s="786" t="s">
        <v>1591</v>
      </c>
      <c r="C1149" s="465">
        <v>4955230</v>
      </c>
      <c r="D1149" s="470">
        <v>1</v>
      </c>
      <c r="E1149" s="761" t="s">
        <v>1314</v>
      </c>
      <c r="F1149" s="473"/>
      <c r="G1149" s="470"/>
      <c r="H1149" s="470">
        <v>1</v>
      </c>
      <c r="I1149" s="470"/>
      <c r="J1149" s="470"/>
    </row>
    <row r="1150" spans="1:10" s="174" customFormat="1" ht="18.75">
      <c r="A1150" s="1034" t="s">
        <v>1592</v>
      </c>
      <c r="B1150" s="1035"/>
      <c r="C1150" s="1035"/>
      <c r="D1150" s="1035"/>
      <c r="E1150" s="1035"/>
      <c r="F1150" s="1035"/>
      <c r="G1150" s="1035"/>
      <c r="H1150" s="1035"/>
      <c r="I1150" s="1035"/>
      <c r="J1150" s="1036"/>
    </row>
    <row r="1151" spans="1:10" s="174" customFormat="1">
      <c r="A1151" s="96">
        <v>420</v>
      </c>
      <c r="B1151" s="786" t="s">
        <v>1593</v>
      </c>
      <c r="C1151" s="761" t="s">
        <v>1594</v>
      </c>
      <c r="D1151" s="470">
        <v>5</v>
      </c>
      <c r="E1151" s="761" t="s">
        <v>1314</v>
      </c>
      <c r="F1151" s="473"/>
      <c r="G1151" s="470"/>
      <c r="H1151" s="470">
        <v>3</v>
      </c>
      <c r="I1151" s="470">
        <v>2</v>
      </c>
      <c r="J1151" s="470">
        <v>0</v>
      </c>
    </row>
    <row r="1152" spans="1:10" s="757" customFormat="1" ht="60">
      <c r="A1152" s="97">
        <v>421</v>
      </c>
      <c r="B1152" s="786" t="s">
        <v>1595</v>
      </c>
      <c r="C1152" s="468">
        <v>64700136</v>
      </c>
      <c r="D1152" s="470">
        <f t="shared" ref="D1152:D1178" si="25">H1152+I1152+J1152</f>
        <v>5</v>
      </c>
      <c r="E1152" s="761" t="s">
        <v>1596</v>
      </c>
      <c r="F1152" s="473"/>
      <c r="G1152" s="470"/>
      <c r="H1152" s="470">
        <v>3</v>
      </c>
      <c r="I1152" s="470">
        <v>2</v>
      </c>
      <c r="J1152" s="470"/>
    </row>
    <row r="1153" spans="1:10" s="174" customFormat="1">
      <c r="A1153" s="96">
        <v>422</v>
      </c>
      <c r="B1153" s="786" t="s">
        <v>1597</v>
      </c>
      <c r="C1153" s="761">
        <v>64700104</v>
      </c>
      <c r="D1153" s="470">
        <f t="shared" si="25"/>
        <v>60</v>
      </c>
      <c r="E1153" s="761" t="s">
        <v>1314</v>
      </c>
      <c r="F1153" s="473"/>
      <c r="G1153" s="470"/>
      <c r="H1153" s="470">
        <v>30</v>
      </c>
      <c r="I1153" s="470">
        <v>30</v>
      </c>
      <c r="J1153" s="470"/>
    </row>
    <row r="1154" spans="1:10" s="174" customFormat="1">
      <c r="A1154" s="96">
        <v>423</v>
      </c>
      <c r="B1154" s="786" t="s">
        <v>1598</v>
      </c>
      <c r="C1154" s="761">
        <v>64700106</v>
      </c>
      <c r="D1154" s="470">
        <f t="shared" si="25"/>
        <v>60</v>
      </c>
      <c r="E1154" s="761" t="s">
        <v>1314</v>
      </c>
      <c r="F1154" s="473"/>
      <c r="G1154" s="470"/>
      <c r="H1154" s="470">
        <v>30</v>
      </c>
      <c r="I1154" s="470">
        <v>30</v>
      </c>
      <c r="J1154" s="470"/>
    </row>
    <row r="1155" spans="1:10" s="174" customFormat="1">
      <c r="A1155" s="96">
        <v>424</v>
      </c>
      <c r="B1155" s="789" t="s">
        <v>1599</v>
      </c>
      <c r="C1155" s="468">
        <v>64700107</v>
      </c>
      <c r="D1155" s="470">
        <f t="shared" si="25"/>
        <v>1000</v>
      </c>
      <c r="E1155" s="761" t="s">
        <v>1314</v>
      </c>
      <c r="F1155" s="473"/>
      <c r="G1155" s="470"/>
      <c r="H1155" s="470">
        <v>500</v>
      </c>
      <c r="I1155" s="470">
        <v>500</v>
      </c>
      <c r="J1155" s="470"/>
    </row>
    <row r="1156" spans="1:10" s="174" customFormat="1">
      <c r="A1156" s="96">
        <v>425</v>
      </c>
      <c r="B1156" s="786" t="s">
        <v>1340</v>
      </c>
      <c r="C1156" s="761">
        <v>64700108</v>
      </c>
      <c r="D1156" s="470">
        <f t="shared" si="25"/>
        <v>120</v>
      </c>
      <c r="E1156" s="761" t="s">
        <v>1314</v>
      </c>
      <c r="F1156" s="473"/>
      <c r="G1156" s="470"/>
      <c r="H1156" s="470">
        <v>60</v>
      </c>
      <c r="I1156" s="470">
        <v>60</v>
      </c>
      <c r="J1156" s="470"/>
    </row>
    <row r="1157" spans="1:10" s="174" customFormat="1">
      <c r="A1157" s="96">
        <v>426</v>
      </c>
      <c r="B1157" s="786" t="s">
        <v>1600</v>
      </c>
      <c r="C1157" s="468">
        <v>63400188</v>
      </c>
      <c r="D1157" s="470">
        <f t="shared" si="25"/>
        <v>600</v>
      </c>
      <c r="E1157" s="761" t="s">
        <v>1314</v>
      </c>
      <c r="F1157" s="473"/>
      <c r="G1157" s="470"/>
      <c r="H1157" s="470">
        <v>300</v>
      </c>
      <c r="I1157" s="470">
        <v>300</v>
      </c>
      <c r="J1157" s="470"/>
    </row>
    <row r="1158" spans="1:10" s="174" customFormat="1">
      <c r="A1158" s="96">
        <v>427</v>
      </c>
      <c r="B1158" s="786" t="s">
        <v>1601</v>
      </c>
      <c r="C1158" s="468">
        <v>63400189</v>
      </c>
      <c r="D1158" s="470">
        <f t="shared" si="25"/>
        <v>600</v>
      </c>
      <c r="E1158" s="761" t="s">
        <v>1314</v>
      </c>
      <c r="F1158" s="473"/>
      <c r="G1158" s="470"/>
      <c r="H1158" s="470">
        <v>300</v>
      </c>
      <c r="I1158" s="470">
        <v>300</v>
      </c>
      <c r="J1158" s="470"/>
    </row>
    <row r="1159" spans="1:10" s="174" customFormat="1">
      <c r="A1159" s="96">
        <v>428</v>
      </c>
      <c r="B1159" s="786" t="s">
        <v>1601</v>
      </c>
      <c r="C1159" s="468">
        <v>63400190</v>
      </c>
      <c r="D1159" s="470">
        <f t="shared" si="25"/>
        <v>600</v>
      </c>
      <c r="E1159" s="761" t="s">
        <v>1314</v>
      </c>
      <c r="F1159" s="473"/>
      <c r="G1159" s="470"/>
      <c r="H1159" s="470">
        <v>300</v>
      </c>
      <c r="I1159" s="470">
        <v>300</v>
      </c>
      <c r="J1159" s="470"/>
    </row>
    <row r="1160" spans="1:10" s="174" customFormat="1">
      <c r="A1160" s="96">
        <v>429</v>
      </c>
      <c r="B1160" s="786" t="s">
        <v>1358</v>
      </c>
      <c r="C1160" s="468">
        <v>63400195</v>
      </c>
      <c r="D1160" s="470">
        <f t="shared" si="25"/>
        <v>600</v>
      </c>
      <c r="E1160" s="761" t="s">
        <v>1314</v>
      </c>
      <c r="F1160" s="473"/>
      <c r="G1160" s="470"/>
      <c r="H1160" s="470">
        <v>300</v>
      </c>
      <c r="I1160" s="470">
        <v>300</v>
      </c>
      <c r="J1160" s="470"/>
    </row>
    <row r="1161" spans="1:10" s="174" customFormat="1">
      <c r="A1161" s="96">
        <v>430</v>
      </c>
      <c r="B1161" s="789" t="s">
        <v>1602</v>
      </c>
      <c r="C1161" s="468">
        <v>80100120</v>
      </c>
      <c r="D1161" s="470">
        <f t="shared" si="25"/>
        <v>30</v>
      </c>
      <c r="E1161" s="761" t="s">
        <v>1314</v>
      </c>
      <c r="F1161" s="473"/>
      <c r="G1161" s="470"/>
      <c r="H1161" s="470">
        <v>30</v>
      </c>
      <c r="I1161" s="470"/>
      <c r="J1161" s="470"/>
    </row>
    <row r="1162" spans="1:10" s="174" customFormat="1">
      <c r="A1162" s="96">
        <v>431</v>
      </c>
      <c r="B1162" s="789" t="s">
        <v>1602</v>
      </c>
      <c r="C1162" s="468">
        <v>80100119</v>
      </c>
      <c r="D1162" s="470">
        <f t="shared" si="25"/>
        <v>30</v>
      </c>
      <c r="E1162" s="761" t="s">
        <v>1314</v>
      </c>
      <c r="F1162" s="473"/>
      <c r="G1162" s="470"/>
      <c r="H1162" s="470">
        <v>30</v>
      </c>
      <c r="I1162" s="470"/>
      <c r="J1162" s="470"/>
    </row>
    <row r="1163" spans="1:10" s="174" customFormat="1">
      <c r="A1163" s="96">
        <v>432</v>
      </c>
      <c r="B1163" s="786" t="s">
        <v>1603</v>
      </c>
      <c r="C1163" s="761">
        <v>64700103</v>
      </c>
      <c r="D1163" s="470">
        <f t="shared" si="25"/>
        <v>1000</v>
      </c>
      <c r="E1163" s="761" t="s">
        <v>1314</v>
      </c>
      <c r="F1163" s="473"/>
      <c r="G1163" s="470"/>
      <c r="H1163" s="470">
        <v>500</v>
      </c>
      <c r="I1163" s="470">
        <v>500</v>
      </c>
      <c r="J1163" s="470"/>
    </row>
    <row r="1164" spans="1:10" s="174" customFormat="1">
      <c r="A1164" s="96">
        <v>433</v>
      </c>
      <c r="B1164" s="789" t="s">
        <v>1604</v>
      </c>
      <c r="C1164" s="468">
        <v>64700122</v>
      </c>
      <c r="D1164" s="470">
        <f t="shared" si="25"/>
        <v>30</v>
      </c>
      <c r="E1164" s="761" t="s">
        <v>1314</v>
      </c>
      <c r="F1164" s="473"/>
      <c r="G1164" s="470"/>
      <c r="H1164" s="470">
        <v>30</v>
      </c>
      <c r="I1164" s="470"/>
      <c r="J1164" s="470"/>
    </row>
    <row r="1165" spans="1:10" s="174" customFormat="1">
      <c r="A1165" s="96">
        <v>434</v>
      </c>
      <c r="B1165" s="789" t="s">
        <v>1605</v>
      </c>
      <c r="C1165" s="468">
        <v>64700123</v>
      </c>
      <c r="D1165" s="470">
        <f t="shared" si="25"/>
        <v>9</v>
      </c>
      <c r="E1165" s="761" t="s">
        <v>1314</v>
      </c>
      <c r="F1165" s="473"/>
      <c r="G1165" s="470"/>
      <c r="H1165" s="470">
        <v>9</v>
      </c>
      <c r="I1165" s="470"/>
      <c r="J1165" s="470"/>
    </row>
    <row r="1166" spans="1:10" s="174" customFormat="1">
      <c r="A1166" s="96">
        <v>435</v>
      </c>
      <c r="B1166" s="789" t="s">
        <v>1606</v>
      </c>
      <c r="C1166" s="476">
        <v>64700124</v>
      </c>
      <c r="D1166" s="476">
        <f t="shared" si="25"/>
        <v>120</v>
      </c>
      <c r="E1166" s="476" t="s">
        <v>1314</v>
      </c>
      <c r="F1166" s="476"/>
      <c r="G1166" s="470"/>
      <c r="H1166" s="470">
        <v>60</v>
      </c>
      <c r="I1166" s="470">
        <v>60</v>
      </c>
      <c r="J1166" s="470"/>
    </row>
    <row r="1167" spans="1:10" s="174" customFormat="1">
      <c r="A1167" s="96">
        <v>436</v>
      </c>
      <c r="B1167" s="789" t="s">
        <v>1607</v>
      </c>
      <c r="C1167" s="476">
        <v>64700125</v>
      </c>
      <c r="D1167" s="476">
        <f t="shared" si="25"/>
        <v>5</v>
      </c>
      <c r="E1167" s="476" t="s">
        <v>1314</v>
      </c>
      <c r="F1167" s="476"/>
      <c r="G1167" s="470"/>
      <c r="H1167" s="470">
        <v>3</v>
      </c>
      <c r="I1167" s="470">
        <v>2</v>
      </c>
      <c r="J1167" s="470"/>
    </row>
    <row r="1168" spans="1:10" s="174" customFormat="1">
      <c r="A1168" s="96">
        <v>437</v>
      </c>
      <c r="B1168" s="789" t="s">
        <v>932</v>
      </c>
      <c r="C1168" s="476">
        <v>64700110</v>
      </c>
      <c r="D1168" s="476">
        <f t="shared" si="25"/>
        <v>36</v>
      </c>
      <c r="E1168" s="476" t="s">
        <v>1314</v>
      </c>
      <c r="F1168" s="476"/>
      <c r="G1168" s="470"/>
      <c r="H1168" s="470">
        <v>18</v>
      </c>
      <c r="I1168" s="470">
        <v>18</v>
      </c>
      <c r="J1168" s="470"/>
    </row>
    <row r="1169" spans="1:10" s="174" customFormat="1">
      <c r="A1169" s="96">
        <v>438</v>
      </c>
      <c r="B1169" s="787" t="s">
        <v>1608</v>
      </c>
      <c r="C1169" s="468">
        <v>64700114</v>
      </c>
      <c r="D1169" s="470">
        <f t="shared" si="25"/>
        <v>18</v>
      </c>
      <c r="E1169" s="761" t="s">
        <v>1314</v>
      </c>
      <c r="F1169" s="473"/>
      <c r="G1169" s="470"/>
      <c r="H1169" s="470">
        <v>9</v>
      </c>
      <c r="I1169" s="470">
        <v>9</v>
      </c>
      <c r="J1169" s="470"/>
    </row>
    <row r="1170" spans="1:10" s="174" customFormat="1">
      <c r="A1170" s="96">
        <v>439</v>
      </c>
      <c r="B1170" s="787" t="s">
        <v>1609</v>
      </c>
      <c r="C1170" s="468">
        <v>64700130</v>
      </c>
      <c r="D1170" s="470">
        <f t="shared" si="25"/>
        <v>18</v>
      </c>
      <c r="E1170" s="761" t="s">
        <v>1314</v>
      </c>
      <c r="F1170" s="473"/>
      <c r="G1170" s="470"/>
      <c r="H1170" s="470">
        <v>9</v>
      </c>
      <c r="I1170" s="470">
        <v>9</v>
      </c>
      <c r="J1170" s="470"/>
    </row>
    <row r="1171" spans="1:10" s="174" customFormat="1">
      <c r="A1171" s="96">
        <v>440</v>
      </c>
      <c r="B1171" s="786" t="s">
        <v>1610</v>
      </c>
      <c r="C1171" s="761">
        <v>80649005</v>
      </c>
      <c r="D1171" s="470">
        <f t="shared" si="25"/>
        <v>180</v>
      </c>
      <c r="E1171" s="761" t="s">
        <v>1314</v>
      </c>
      <c r="F1171" s="473"/>
      <c r="G1171" s="470"/>
      <c r="H1171" s="470">
        <v>90</v>
      </c>
      <c r="I1171" s="470">
        <v>90</v>
      </c>
      <c r="J1171" s="470"/>
    </row>
    <row r="1172" spans="1:10" s="174" customFormat="1">
      <c r="A1172" s="96">
        <v>441</v>
      </c>
      <c r="B1172" s="789" t="s">
        <v>1611</v>
      </c>
      <c r="C1172" s="468">
        <v>64700105</v>
      </c>
      <c r="D1172" s="470">
        <f t="shared" si="25"/>
        <v>60</v>
      </c>
      <c r="E1172" s="761" t="s">
        <v>1314</v>
      </c>
      <c r="F1172" s="473"/>
      <c r="G1172" s="470"/>
      <c r="H1172" s="470">
        <v>30</v>
      </c>
      <c r="I1172" s="470">
        <v>30</v>
      </c>
      <c r="J1172" s="470"/>
    </row>
    <row r="1173" spans="1:10" s="174" customFormat="1">
      <c r="A1173" s="96">
        <v>442</v>
      </c>
      <c r="B1173" s="786" t="s">
        <v>1347</v>
      </c>
      <c r="C1173" s="468">
        <v>64700126</v>
      </c>
      <c r="D1173" s="470">
        <f t="shared" si="25"/>
        <v>3</v>
      </c>
      <c r="E1173" s="761" t="s">
        <v>1314</v>
      </c>
      <c r="F1173" s="473"/>
      <c r="G1173" s="470"/>
      <c r="H1173" s="470">
        <v>3</v>
      </c>
      <c r="I1173" s="470"/>
      <c r="J1173" s="470"/>
    </row>
    <row r="1174" spans="1:10" s="174" customFormat="1">
      <c r="A1174" s="96">
        <v>443</v>
      </c>
      <c r="B1174" s="786" t="s">
        <v>927</v>
      </c>
      <c r="C1174" s="761">
        <v>63200113</v>
      </c>
      <c r="D1174" s="470">
        <f t="shared" si="25"/>
        <v>36</v>
      </c>
      <c r="E1174" s="761" t="s">
        <v>1314</v>
      </c>
      <c r="F1174" s="473"/>
      <c r="G1174" s="470"/>
      <c r="H1174" s="470">
        <v>18</v>
      </c>
      <c r="I1174" s="470">
        <v>18</v>
      </c>
      <c r="J1174" s="470"/>
    </row>
    <row r="1175" spans="1:10" s="174" customFormat="1">
      <c r="A1175" s="96">
        <v>444</v>
      </c>
      <c r="B1175" s="787" t="s">
        <v>927</v>
      </c>
      <c r="C1175" s="468" t="s">
        <v>1612</v>
      </c>
      <c r="D1175" s="470">
        <f t="shared" si="25"/>
        <v>36</v>
      </c>
      <c r="E1175" s="761" t="s">
        <v>1314</v>
      </c>
      <c r="F1175" s="473"/>
      <c r="G1175" s="470"/>
      <c r="H1175" s="470">
        <v>18</v>
      </c>
      <c r="I1175" s="470">
        <v>18</v>
      </c>
      <c r="J1175" s="470"/>
    </row>
    <row r="1176" spans="1:10" s="174" customFormat="1">
      <c r="A1176" s="96">
        <v>445</v>
      </c>
      <c r="B1176" s="786" t="s">
        <v>973</v>
      </c>
      <c r="C1176" s="465">
        <v>63400191</v>
      </c>
      <c r="D1176" s="470">
        <f t="shared" si="25"/>
        <v>30</v>
      </c>
      <c r="E1176" s="761" t="s">
        <v>1314</v>
      </c>
      <c r="F1176" s="473"/>
      <c r="G1176" s="470"/>
      <c r="H1176" s="470">
        <v>30</v>
      </c>
      <c r="I1176" s="470"/>
      <c r="J1176" s="470"/>
    </row>
    <row r="1177" spans="1:10" s="174" customFormat="1">
      <c r="A1177" s="96">
        <v>446</v>
      </c>
      <c r="B1177" s="786" t="s">
        <v>973</v>
      </c>
      <c r="C1177" s="465">
        <v>63400192</v>
      </c>
      <c r="D1177" s="470">
        <f t="shared" si="25"/>
        <v>30</v>
      </c>
      <c r="E1177" s="761" t="s">
        <v>1314</v>
      </c>
      <c r="F1177" s="473"/>
      <c r="G1177" s="470"/>
      <c r="H1177" s="470">
        <v>30</v>
      </c>
      <c r="I1177" s="470"/>
      <c r="J1177" s="470"/>
    </row>
    <row r="1178" spans="1:10" s="174" customFormat="1">
      <c r="A1178" s="96">
        <v>447</v>
      </c>
      <c r="B1178" s="786" t="s">
        <v>1613</v>
      </c>
      <c r="C1178" s="465">
        <v>63400196</v>
      </c>
      <c r="D1178" s="470">
        <f t="shared" si="25"/>
        <v>30</v>
      </c>
      <c r="E1178" s="761" t="s">
        <v>1314</v>
      </c>
      <c r="F1178" s="473"/>
      <c r="G1178" s="470"/>
      <c r="H1178" s="470">
        <v>30</v>
      </c>
      <c r="I1178" s="470"/>
      <c r="J1178" s="470"/>
    </row>
    <row r="1179" spans="1:10" s="174" customFormat="1" ht="18.75">
      <c r="A1179" s="96">
        <v>448</v>
      </c>
      <c r="B1179" s="786" t="s">
        <v>1614</v>
      </c>
      <c r="C1179" s="465">
        <v>64700101</v>
      </c>
      <c r="D1179" s="465">
        <v>5</v>
      </c>
      <c r="E1179" s="465" t="s">
        <v>1314</v>
      </c>
      <c r="F1179" s="22"/>
      <c r="G1179" s="471"/>
      <c r="H1179" s="471">
        <v>3</v>
      </c>
      <c r="I1179" s="471">
        <v>2</v>
      </c>
      <c r="J1179" s="471"/>
    </row>
    <row r="1180" spans="1:10" s="174" customFormat="1" ht="18.75">
      <c r="A1180" s="1034" t="s">
        <v>1615</v>
      </c>
      <c r="B1180" s="1035"/>
      <c r="C1180" s="1035"/>
      <c r="D1180" s="1035"/>
      <c r="E1180" s="1035"/>
      <c r="F1180" s="1035"/>
      <c r="G1180" s="1035"/>
      <c r="H1180" s="1035"/>
      <c r="I1180" s="1035"/>
      <c r="J1180" s="1036"/>
    </row>
    <row r="1181" spans="1:10" s="174" customFormat="1">
      <c r="A1181" s="48">
        <v>449</v>
      </c>
      <c r="B1181" s="792" t="s">
        <v>1616</v>
      </c>
      <c r="C1181" s="698" t="s">
        <v>1617</v>
      </c>
      <c r="D1181" s="470">
        <v>2</v>
      </c>
      <c r="E1181" s="467"/>
      <c r="F1181" s="472"/>
      <c r="G1181" s="470"/>
      <c r="H1181" s="470">
        <v>2</v>
      </c>
      <c r="I1181" s="470"/>
      <c r="J1181" s="470"/>
    </row>
    <row r="1182" spans="1:10" s="174" customFormat="1">
      <c r="A1182" s="48">
        <v>450</v>
      </c>
      <c r="B1182" s="792" t="s">
        <v>1616</v>
      </c>
      <c r="C1182" s="481" t="s">
        <v>1618</v>
      </c>
      <c r="D1182" s="470">
        <v>2</v>
      </c>
      <c r="E1182" s="467"/>
      <c r="F1182" s="472"/>
      <c r="G1182" s="470"/>
      <c r="H1182" s="470">
        <v>2</v>
      </c>
      <c r="I1182" s="470"/>
      <c r="J1182" s="470"/>
    </row>
    <row r="1183" spans="1:10" s="174" customFormat="1">
      <c r="A1183" s="469">
        <v>451</v>
      </c>
      <c r="B1183" s="792" t="s">
        <v>1619</v>
      </c>
      <c r="C1183" s="481" t="s">
        <v>1620</v>
      </c>
      <c r="D1183" s="470">
        <v>8</v>
      </c>
      <c r="E1183" s="467"/>
      <c r="F1183" s="472"/>
      <c r="G1183" s="470"/>
      <c r="H1183" s="470">
        <v>4</v>
      </c>
      <c r="I1183" s="470">
        <v>4</v>
      </c>
      <c r="J1183" s="470"/>
    </row>
    <row r="1184" spans="1:10" s="174" customFormat="1">
      <c r="A1184" s="469">
        <v>452</v>
      </c>
      <c r="B1184" s="792" t="s">
        <v>1621</v>
      </c>
      <c r="C1184" s="481" t="s">
        <v>1622</v>
      </c>
      <c r="D1184" s="470">
        <v>8</v>
      </c>
      <c r="E1184" s="467"/>
      <c r="F1184" s="472"/>
      <c r="G1184" s="470"/>
      <c r="H1184" s="470">
        <v>4</v>
      </c>
      <c r="I1184" s="470">
        <v>4</v>
      </c>
      <c r="J1184" s="470"/>
    </row>
    <row r="1185" spans="1:10" s="174" customFormat="1">
      <c r="A1185" s="469">
        <v>453</v>
      </c>
      <c r="B1185" s="792" t="s">
        <v>1623</v>
      </c>
      <c r="C1185" s="481" t="s">
        <v>1624</v>
      </c>
      <c r="D1185" s="470">
        <v>7</v>
      </c>
      <c r="E1185" s="467"/>
      <c r="F1185" s="472"/>
      <c r="G1185" s="470"/>
      <c r="H1185" s="470">
        <v>4</v>
      </c>
      <c r="I1185" s="470">
        <v>3</v>
      </c>
      <c r="J1185" s="470"/>
    </row>
    <row r="1186" spans="1:10" s="174" customFormat="1">
      <c r="A1186" s="469">
        <v>454</v>
      </c>
      <c r="B1186" s="792" t="s">
        <v>1623</v>
      </c>
      <c r="C1186" s="481" t="s">
        <v>1625</v>
      </c>
      <c r="D1186" s="470">
        <v>2</v>
      </c>
      <c r="E1186" s="761"/>
      <c r="F1186" s="472"/>
      <c r="G1186" s="470"/>
      <c r="H1186" s="470">
        <v>1</v>
      </c>
      <c r="I1186" s="470">
        <v>1</v>
      </c>
      <c r="J1186" s="470"/>
    </row>
    <row r="1187" spans="1:10" s="174" customFormat="1">
      <c r="A1187" s="469">
        <v>455</v>
      </c>
      <c r="B1187" s="792" t="s">
        <v>1626</v>
      </c>
      <c r="C1187" s="481" t="s">
        <v>1627</v>
      </c>
      <c r="D1187" s="470">
        <v>1</v>
      </c>
      <c r="E1187" s="761"/>
      <c r="F1187" s="472"/>
      <c r="G1187" s="470"/>
      <c r="H1187" s="470">
        <v>1</v>
      </c>
      <c r="I1187" s="470"/>
      <c r="J1187" s="470"/>
    </row>
    <row r="1188" spans="1:10" s="174" customFormat="1">
      <c r="A1188" s="469">
        <v>456</v>
      </c>
      <c r="B1188" s="792" t="s">
        <v>1628</v>
      </c>
      <c r="C1188" s="481" t="s">
        <v>1629</v>
      </c>
      <c r="D1188" s="470">
        <v>1</v>
      </c>
      <c r="E1188" s="761"/>
      <c r="F1188" s="472"/>
      <c r="G1188" s="470"/>
      <c r="H1188" s="470">
        <v>1</v>
      </c>
      <c r="I1188" s="470"/>
      <c r="J1188" s="470"/>
    </row>
    <row r="1189" spans="1:10" s="174" customFormat="1">
      <c r="A1189" s="469">
        <v>457</v>
      </c>
      <c r="B1189" s="792" t="s">
        <v>1630</v>
      </c>
      <c r="C1189" s="481" t="s">
        <v>1631</v>
      </c>
      <c r="D1189" s="470">
        <v>3</v>
      </c>
      <c r="E1189" s="761"/>
      <c r="F1189" s="472"/>
      <c r="G1189" s="470"/>
      <c r="H1189" s="470">
        <v>2</v>
      </c>
      <c r="I1189" s="470">
        <v>1</v>
      </c>
      <c r="J1189" s="470"/>
    </row>
    <row r="1190" spans="1:10" s="174" customFormat="1">
      <c r="A1190" s="469">
        <v>458</v>
      </c>
      <c r="B1190" s="792" t="s">
        <v>1632</v>
      </c>
      <c r="C1190" s="481" t="s">
        <v>1633</v>
      </c>
      <c r="D1190" s="470">
        <v>2</v>
      </c>
      <c r="E1190" s="761"/>
      <c r="F1190" s="472"/>
      <c r="G1190" s="470"/>
      <c r="H1190" s="470">
        <v>1</v>
      </c>
      <c r="I1190" s="470">
        <v>1</v>
      </c>
      <c r="J1190" s="470"/>
    </row>
    <row r="1191" spans="1:10" s="174" customFormat="1">
      <c r="A1191" s="469">
        <v>459</v>
      </c>
      <c r="B1191" s="792" t="s">
        <v>1634</v>
      </c>
      <c r="C1191" s="481" t="s">
        <v>1635</v>
      </c>
      <c r="D1191" s="470">
        <v>4</v>
      </c>
      <c r="E1191" s="761"/>
      <c r="F1191" s="472"/>
      <c r="G1191" s="470"/>
      <c r="H1191" s="470">
        <v>2</v>
      </c>
      <c r="I1191" s="470">
        <v>2</v>
      </c>
      <c r="J1191" s="470"/>
    </row>
    <row r="1192" spans="1:10" s="174" customFormat="1">
      <c r="A1192" s="469">
        <v>460</v>
      </c>
      <c r="B1192" s="792" t="s">
        <v>1636</v>
      </c>
      <c r="C1192" s="481" t="s">
        <v>1637</v>
      </c>
      <c r="D1192" s="470">
        <v>40</v>
      </c>
      <c r="E1192" s="761"/>
      <c r="F1192" s="472"/>
      <c r="G1192" s="470"/>
      <c r="H1192" s="470">
        <v>20</v>
      </c>
      <c r="I1192" s="470">
        <v>20</v>
      </c>
      <c r="J1192" s="470"/>
    </row>
    <row r="1193" spans="1:10" s="174" customFormat="1">
      <c r="A1193" s="469">
        <v>461</v>
      </c>
      <c r="B1193" s="792" t="s">
        <v>1638</v>
      </c>
      <c r="C1193" s="481" t="s">
        <v>1639</v>
      </c>
      <c r="D1193" s="470">
        <v>40</v>
      </c>
      <c r="E1193" s="761"/>
      <c r="F1193" s="472"/>
      <c r="G1193" s="470"/>
      <c r="H1193" s="470">
        <v>20</v>
      </c>
      <c r="I1193" s="470">
        <v>20</v>
      </c>
      <c r="J1193" s="470"/>
    </row>
    <row r="1194" spans="1:10" s="174" customFormat="1">
      <c r="A1194" s="469">
        <v>462</v>
      </c>
      <c r="B1194" s="792" t="s">
        <v>1640</v>
      </c>
      <c r="C1194" s="481" t="s">
        <v>1641</v>
      </c>
      <c r="D1194" s="470">
        <v>4</v>
      </c>
      <c r="E1194" s="761"/>
      <c r="F1194" s="472"/>
      <c r="G1194" s="470"/>
      <c r="H1194" s="470">
        <v>4</v>
      </c>
      <c r="I1194" s="470"/>
      <c r="J1194" s="470"/>
    </row>
    <row r="1195" spans="1:10" s="174" customFormat="1">
      <c r="A1195" s="469">
        <v>463</v>
      </c>
      <c r="B1195" s="792" t="s">
        <v>1642</v>
      </c>
      <c r="C1195" s="481" t="s">
        <v>1643</v>
      </c>
      <c r="D1195" s="470">
        <v>6</v>
      </c>
      <c r="E1195" s="761"/>
      <c r="F1195" s="472"/>
      <c r="G1195" s="470"/>
      <c r="H1195" s="470">
        <v>6</v>
      </c>
      <c r="I1195" s="470"/>
      <c r="J1195" s="470"/>
    </row>
    <row r="1196" spans="1:10" s="174" customFormat="1">
      <c r="A1196" s="469">
        <v>464</v>
      </c>
      <c r="B1196" s="792" t="s">
        <v>1644</v>
      </c>
      <c r="C1196" s="481" t="s">
        <v>1645</v>
      </c>
      <c r="D1196" s="470">
        <v>1</v>
      </c>
      <c r="E1196" s="761"/>
      <c r="F1196" s="472"/>
      <c r="G1196" s="470"/>
      <c r="H1196" s="470">
        <v>1</v>
      </c>
      <c r="I1196" s="470"/>
      <c r="J1196" s="470"/>
    </row>
    <row r="1197" spans="1:10" s="174" customFormat="1">
      <c r="A1197" s="469">
        <v>465</v>
      </c>
      <c r="B1197" s="792" t="s">
        <v>1646</v>
      </c>
      <c r="C1197" s="481" t="s">
        <v>1647</v>
      </c>
      <c r="D1197" s="470">
        <v>3</v>
      </c>
      <c r="E1197" s="761"/>
      <c r="F1197" s="472"/>
      <c r="G1197" s="470"/>
      <c r="H1197" s="470">
        <v>3</v>
      </c>
      <c r="I1197" s="470"/>
      <c r="J1197" s="470"/>
    </row>
    <row r="1198" spans="1:10" s="174" customFormat="1">
      <c r="A1198" s="469">
        <v>466</v>
      </c>
      <c r="B1198" s="792" t="s">
        <v>1648</v>
      </c>
      <c r="C1198" s="481" t="s">
        <v>1649</v>
      </c>
      <c r="D1198" s="470">
        <v>4</v>
      </c>
      <c r="E1198" s="761"/>
      <c r="F1198" s="472"/>
      <c r="G1198" s="470"/>
      <c r="H1198" s="470">
        <v>4</v>
      </c>
      <c r="I1198" s="470"/>
      <c r="J1198" s="470"/>
    </row>
    <row r="1199" spans="1:10" s="174" customFormat="1">
      <c r="A1199" s="469">
        <v>467</v>
      </c>
      <c r="B1199" s="792" t="s">
        <v>1650</v>
      </c>
      <c r="C1199" s="481" t="s">
        <v>1635</v>
      </c>
      <c r="D1199" s="470">
        <v>6</v>
      </c>
      <c r="E1199" s="761"/>
      <c r="F1199" s="472"/>
      <c r="G1199" s="470"/>
      <c r="H1199" s="470">
        <v>3</v>
      </c>
      <c r="I1199" s="470">
        <v>3</v>
      </c>
      <c r="J1199" s="470"/>
    </row>
    <row r="1200" spans="1:10" s="174" customFormat="1">
      <c r="A1200" s="469">
        <v>468</v>
      </c>
      <c r="B1200" s="792" t="s">
        <v>1651</v>
      </c>
      <c r="C1200" s="481" t="s">
        <v>1652</v>
      </c>
      <c r="D1200" s="470">
        <v>2</v>
      </c>
      <c r="E1200" s="761"/>
      <c r="F1200" s="472"/>
      <c r="G1200" s="470"/>
      <c r="H1200" s="470">
        <v>2</v>
      </c>
      <c r="I1200" s="470"/>
      <c r="J1200" s="470"/>
    </row>
    <row r="1201" spans="1:10" s="174" customFormat="1">
      <c r="A1201" s="469">
        <v>469</v>
      </c>
      <c r="B1201" s="792" t="s">
        <v>1653</v>
      </c>
      <c r="C1201" s="481" t="s">
        <v>1654</v>
      </c>
      <c r="D1201" s="470">
        <v>2</v>
      </c>
      <c r="E1201" s="761"/>
      <c r="F1201" s="472"/>
      <c r="G1201" s="470"/>
      <c r="H1201" s="470">
        <v>2</v>
      </c>
      <c r="I1201" s="470"/>
      <c r="J1201" s="470"/>
    </row>
    <row r="1202" spans="1:10" s="174" customFormat="1">
      <c r="A1202" s="469">
        <v>470</v>
      </c>
      <c r="B1202" s="792" t="s">
        <v>1655</v>
      </c>
      <c r="C1202" s="481" t="s">
        <v>1656</v>
      </c>
      <c r="D1202" s="470">
        <v>11</v>
      </c>
      <c r="E1202" s="761"/>
      <c r="F1202" s="472"/>
      <c r="G1202" s="470"/>
      <c r="H1202" s="470">
        <v>6</v>
      </c>
      <c r="I1202" s="470">
        <v>5</v>
      </c>
      <c r="J1202" s="470"/>
    </row>
    <row r="1203" spans="1:10" s="174" customFormat="1">
      <c r="A1203" s="469">
        <v>471</v>
      </c>
      <c r="B1203" s="792" t="s">
        <v>1657</v>
      </c>
      <c r="C1203" s="481" t="s">
        <v>1658</v>
      </c>
      <c r="D1203" s="470">
        <v>1</v>
      </c>
      <c r="E1203" s="761"/>
      <c r="F1203" s="472"/>
      <c r="G1203" s="470"/>
      <c r="H1203" s="470">
        <v>1</v>
      </c>
      <c r="I1203" s="470"/>
      <c r="J1203" s="470"/>
    </row>
    <row r="1204" spans="1:10" s="174" customFormat="1">
      <c r="A1204" s="469">
        <v>472</v>
      </c>
      <c r="B1204" s="792" t="s">
        <v>1659</v>
      </c>
      <c r="C1204" s="481" t="s">
        <v>1660</v>
      </c>
      <c r="D1204" s="470">
        <v>1</v>
      </c>
      <c r="E1204" s="761"/>
      <c r="F1204" s="472"/>
      <c r="G1204" s="470"/>
      <c r="H1204" s="470">
        <v>1</v>
      </c>
      <c r="I1204" s="470"/>
      <c r="J1204" s="470"/>
    </row>
    <row r="1205" spans="1:10" s="174" customFormat="1">
      <c r="A1205" s="469">
        <v>473</v>
      </c>
      <c r="B1205" s="792" t="s">
        <v>1661</v>
      </c>
      <c r="C1205" s="481" t="s">
        <v>1662</v>
      </c>
      <c r="D1205" s="470">
        <v>5</v>
      </c>
      <c r="E1205" s="761"/>
      <c r="F1205" s="472"/>
      <c r="G1205" s="470"/>
      <c r="H1205" s="470">
        <v>3</v>
      </c>
      <c r="I1205" s="470">
        <v>2</v>
      </c>
      <c r="J1205" s="470"/>
    </row>
    <row r="1206" spans="1:10" s="174" customFormat="1">
      <c r="A1206" s="469">
        <v>474</v>
      </c>
      <c r="B1206" s="792" t="s">
        <v>1661</v>
      </c>
      <c r="C1206" s="481" t="s">
        <v>1663</v>
      </c>
      <c r="D1206" s="470">
        <v>2</v>
      </c>
      <c r="E1206" s="761"/>
      <c r="F1206" s="472"/>
      <c r="G1206" s="470"/>
      <c r="H1206" s="470">
        <v>2</v>
      </c>
      <c r="I1206" s="470"/>
      <c r="J1206" s="470"/>
    </row>
    <row r="1207" spans="1:10" s="174" customFormat="1">
      <c r="A1207" s="469">
        <v>475</v>
      </c>
      <c r="B1207" s="792" t="s">
        <v>1664</v>
      </c>
      <c r="C1207" s="481" t="s">
        <v>1665</v>
      </c>
      <c r="D1207" s="470">
        <v>1</v>
      </c>
      <c r="E1207" s="761"/>
      <c r="F1207" s="472"/>
      <c r="G1207" s="470"/>
      <c r="H1207" s="470">
        <v>1</v>
      </c>
      <c r="I1207" s="470"/>
      <c r="J1207" s="470"/>
    </row>
    <row r="1208" spans="1:10" s="174" customFormat="1">
      <c r="A1208" s="469">
        <v>476</v>
      </c>
      <c r="B1208" s="792" t="s">
        <v>1666</v>
      </c>
      <c r="C1208" s="481" t="s">
        <v>1667</v>
      </c>
      <c r="D1208" s="470">
        <v>1</v>
      </c>
      <c r="E1208" s="761"/>
      <c r="F1208" s="472"/>
      <c r="G1208" s="470"/>
      <c r="H1208" s="470">
        <v>1</v>
      </c>
      <c r="I1208" s="470"/>
      <c r="J1208" s="470"/>
    </row>
    <row r="1209" spans="1:10" s="174" customFormat="1">
      <c r="A1209" s="469">
        <v>477</v>
      </c>
      <c r="B1209" s="792" t="s">
        <v>1668</v>
      </c>
      <c r="C1209" s="481" t="s">
        <v>1669</v>
      </c>
      <c r="D1209" s="470">
        <v>1</v>
      </c>
      <c r="E1209" s="761"/>
      <c r="F1209" s="472"/>
      <c r="G1209" s="470"/>
      <c r="H1209" s="470">
        <v>1</v>
      </c>
      <c r="I1209" s="470"/>
      <c r="J1209" s="470"/>
    </row>
    <row r="1210" spans="1:10" s="174" customFormat="1">
      <c r="A1210" s="469">
        <v>478</v>
      </c>
      <c r="B1210" s="792" t="s">
        <v>1668</v>
      </c>
      <c r="C1210" s="481" t="s">
        <v>1670</v>
      </c>
      <c r="D1210" s="470">
        <v>1</v>
      </c>
      <c r="E1210" s="761"/>
      <c r="F1210" s="472"/>
      <c r="G1210" s="470"/>
      <c r="H1210" s="470">
        <v>1</v>
      </c>
      <c r="I1210" s="470"/>
      <c r="J1210" s="470"/>
    </row>
    <row r="1211" spans="1:10" s="174" customFormat="1">
      <c r="A1211" s="469">
        <v>479</v>
      </c>
      <c r="B1211" s="792" t="s">
        <v>1671</v>
      </c>
      <c r="C1211" s="481" t="s">
        <v>1672</v>
      </c>
      <c r="D1211" s="470">
        <v>2</v>
      </c>
      <c r="E1211" s="761"/>
      <c r="F1211" s="472"/>
      <c r="G1211" s="470"/>
      <c r="H1211" s="470">
        <v>2</v>
      </c>
      <c r="I1211" s="470"/>
      <c r="J1211" s="470"/>
    </row>
    <row r="1212" spans="1:10" s="174" customFormat="1">
      <c r="A1212" s="469">
        <v>480</v>
      </c>
      <c r="B1212" s="792" t="s">
        <v>1673</v>
      </c>
      <c r="C1212" s="481" t="s">
        <v>1674</v>
      </c>
      <c r="D1212" s="424">
        <v>22</v>
      </c>
      <c r="E1212" s="463"/>
      <c r="F1212" s="425"/>
      <c r="G1212" s="424"/>
      <c r="H1212" s="424">
        <v>11</v>
      </c>
      <c r="I1212" s="424">
        <v>11</v>
      </c>
      <c r="J1212" s="424"/>
    </row>
    <row r="1213" spans="1:10" s="174" customFormat="1">
      <c r="A1213" s="469">
        <v>481</v>
      </c>
      <c r="B1213" s="792" t="s">
        <v>1675</v>
      </c>
      <c r="C1213" s="481" t="s">
        <v>1676</v>
      </c>
      <c r="D1213" s="470">
        <v>1</v>
      </c>
      <c r="E1213" s="761"/>
      <c r="F1213" s="472"/>
      <c r="G1213" s="470"/>
      <c r="H1213" s="470">
        <v>1</v>
      </c>
      <c r="I1213" s="470"/>
      <c r="J1213" s="470"/>
    </row>
    <row r="1214" spans="1:10" s="174" customFormat="1">
      <c r="A1214" s="469">
        <v>482</v>
      </c>
      <c r="B1214" s="792" t="s">
        <v>1677</v>
      </c>
      <c r="C1214" s="481" t="s">
        <v>1678</v>
      </c>
      <c r="D1214" s="470">
        <v>2</v>
      </c>
      <c r="E1214" s="761"/>
      <c r="F1214" s="472"/>
      <c r="G1214" s="470"/>
      <c r="H1214" s="470">
        <v>2</v>
      </c>
      <c r="I1214" s="470"/>
      <c r="J1214" s="470"/>
    </row>
    <row r="1215" spans="1:10" s="174" customFormat="1">
      <c r="A1215" s="469">
        <v>483</v>
      </c>
      <c r="B1215" s="792" t="s">
        <v>1677</v>
      </c>
      <c r="C1215" s="481" t="s">
        <v>1679</v>
      </c>
      <c r="D1215" s="470">
        <v>2</v>
      </c>
      <c r="E1215" s="761"/>
      <c r="F1215" s="472"/>
      <c r="G1215" s="470"/>
      <c r="H1215" s="470">
        <v>2</v>
      </c>
      <c r="I1215" s="470"/>
      <c r="J1215" s="470"/>
    </row>
    <row r="1216" spans="1:10" s="174" customFormat="1">
      <c r="A1216" s="469">
        <v>484</v>
      </c>
      <c r="B1216" s="792" t="s">
        <v>1680</v>
      </c>
      <c r="C1216" s="481" t="s">
        <v>1681</v>
      </c>
      <c r="D1216" s="470">
        <v>3</v>
      </c>
      <c r="E1216" s="761"/>
      <c r="F1216" s="472"/>
      <c r="G1216" s="470"/>
      <c r="H1216" s="470">
        <v>3</v>
      </c>
      <c r="I1216" s="470"/>
      <c r="J1216" s="470"/>
    </row>
    <row r="1217" spans="1:10" s="174" customFormat="1">
      <c r="A1217" s="469">
        <v>485</v>
      </c>
      <c r="B1217" s="792" t="s">
        <v>1682</v>
      </c>
      <c r="C1217" s="481" t="s">
        <v>1683</v>
      </c>
      <c r="D1217" s="470">
        <v>2</v>
      </c>
      <c r="E1217" s="761"/>
      <c r="F1217" s="472"/>
      <c r="G1217" s="470"/>
      <c r="H1217" s="470">
        <v>2</v>
      </c>
      <c r="I1217" s="470"/>
      <c r="J1217" s="470"/>
    </row>
    <row r="1218" spans="1:10" s="174" customFormat="1">
      <c r="A1218" s="469">
        <v>486</v>
      </c>
      <c r="B1218" s="792" t="s">
        <v>1682</v>
      </c>
      <c r="C1218" s="481" t="s">
        <v>1684</v>
      </c>
      <c r="D1218" s="470">
        <v>2</v>
      </c>
      <c r="E1218" s="761"/>
      <c r="F1218" s="472"/>
      <c r="G1218" s="470"/>
      <c r="H1218" s="470">
        <v>2</v>
      </c>
      <c r="I1218" s="470"/>
      <c r="J1218" s="470"/>
    </row>
    <row r="1219" spans="1:10" s="174" customFormat="1">
      <c r="A1219" s="469">
        <v>487</v>
      </c>
      <c r="B1219" s="792" t="s">
        <v>1685</v>
      </c>
      <c r="C1219" s="481" t="s">
        <v>1686</v>
      </c>
      <c r="D1219" s="470">
        <v>1</v>
      </c>
      <c r="E1219" s="761"/>
      <c r="F1219" s="472"/>
      <c r="G1219" s="470"/>
      <c r="H1219" s="470">
        <v>1</v>
      </c>
      <c r="I1219" s="470"/>
      <c r="J1219" s="470"/>
    </row>
    <row r="1220" spans="1:10" s="174" customFormat="1" ht="30">
      <c r="A1220" s="469">
        <v>488</v>
      </c>
      <c r="B1220" s="792" t="s">
        <v>1687</v>
      </c>
      <c r="C1220" s="481" t="s">
        <v>1688</v>
      </c>
      <c r="D1220" s="470">
        <v>4</v>
      </c>
      <c r="E1220" s="761"/>
      <c r="F1220" s="472"/>
      <c r="G1220" s="470"/>
      <c r="H1220" s="470">
        <v>4</v>
      </c>
      <c r="I1220" s="470"/>
      <c r="J1220" s="470"/>
    </row>
    <row r="1221" spans="1:10" s="174" customFormat="1" ht="30">
      <c r="A1221" s="469">
        <v>489</v>
      </c>
      <c r="B1221" s="792" t="s">
        <v>1687</v>
      </c>
      <c r="C1221" s="481" t="s">
        <v>1689</v>
      </c>
      <c r="D1221" s="470">
        <v>12</v>
      </c>
      <c r="E1221" s="761"/>
      <c r="F1221" s="472"/>
      <c r="G1221" s="470"/>
      <c r="H1221" s="470">
        <v>12</v>
      </c>
      <c r="I1221" s="470"/>
      <c r="J1221" s="470"/>
    </row>
    <row r="1222" spans="1:10" s="174" customFormat="1">
      <c r="A1222" s="469">
        <v>490</v>
      </c>
      <c r="B1222" s="792" t="s">
        <v>1690</v>
      </c>
      <c r="C1222" s="481" t="s">
        <v>1691</v>
      </c>
      <c r="D1222" s="470">
        <v>8</v>
      </c>
      <c r="E1222" s="761"/>
      <c r="F1222" s="472"/>
      <c r="G1222" s="470"/>
      <c r="H1222" s="470">
        <v>8</v>
      </c>
      <c r="I1222" s="470"/>
      <c r="J1222" s="470"/>
    </row>
    <row r="1223" spans="1:10" s="174" customFormat="1" ht="30">
      <c r="A1223" s="469">
        <v>491</v>
      </c>
      <c r="B1223" s="792" t="s">
        <v>1692</v>
      </c>
      <c r="C1223" s="481" t="s">
        <v>2711</v>
      </c>
      <c r="D1223" s="470">
        <v>10</v>
      </c>
      <c r="E1223" s="761"/>
      <c r="F1223" s="472"/>
      <c r="G1223" s="470"/>
      <c r="H1223" s="470">
        <v>5</v>
      </c>
      <c r="I1223" s="470">
        <v>5</v>
      </c>
      <c r="J1223" s="470"/>
    </row>
    <row r="1224" spans="1:10" s="174" customFormat="1">
      <c r="A1224" s="469">
        <v>492</v>
      </c>
      <c r="B1224" s="792" t="s">
        <v>1693</v>
      </c>
      <c r="C1224" s="481" t="s">
        <v>1694</v>
      </c>
      <c r="D1224" s="470">
        <v>3</v>
      </c>
      <c r="E1224" s="761"/>
      <c r="F1224" s="472"/>
      <c r="G1224" s="470"/>
      <c r="H1224" s="470">
        <v>2</v>
      </c>
      <c r="I1224" s="470">
        <v>1</v>
      </c>
      <c r="J1224" s="470"/>
    </row>
    <row r="1225" spans="1:10" s="174" customFormat="1">
      <c r="A1225" s="469">
        <v>493</v>
      </c>
      <c r="B1225" s="792" t="s">
        <v>1693</v>
      </c>
      <c r="C1225" s="481" t="s">
        <v>1695</v>
      </c>
      <c r="D1225" s="470">
        <v>3</v>
      </c>
      <c r="E1225" s="761"/>
      <c r="F1225" s="472"/>
      <c r="G1225" s="470"/>
      <c r="H1225" s="470">
        <v>2</v>
      </c>
      <c r="I1225" s="470">
        <v>1</v>
      </c>
      <c r="J1225" s="470"/>
    </row>
    <row r="1226" spans="1:10" s="174" customFormat="1">
      <c r="A1226" s="469">
        <v>494</v>
      </c>
      <c r="B1226" s="792" t="s">
        <v>1696</v>
      </c>
      <c r="C1226" s="481" t="s">
        <v>1697</v>
      </c>
      <c r="D1226" s="470">
        <v>44</v>
      </c>
      <c r="E1226" s="761"/>
      <c r="F1226" s="472"/>
      <c r="G1226" s="470"/>
      <c r="H1226" s="470">
        <v>22</v>
      </c>
      <c r="I1226" s="470">
        <v>22</v>
      </c>
      <c r="J1226" s="470"/>
    </row>
    <row r="1227" spans="1:10" s="174" customFormat="1">
      <c r="A1227" s="469">
        <v>495</v>
      </c>
      <c r="B1227" s="792" t="s">
        <v>1698</v>
      </c>
      <c r="C1227" s="481" t="s">
        <v>1699</v>
      </c>
      <c r="D1227" s="470">
        <v>1</v>
      </c>
      <c r="E1227" s="761"/>
      <c r="F1227" s="472"/>
      <c r="G1227" s="470"/>
      <c r="H1227" s="470">
        <v>1</v>
      </c>
      <c r="I1227" s="470"/>
      <c r="J1227" s="470"/>
    </row>
    <row r="1228" spans="1:10" s="174" customFormat="1">
      <c r="A1228" s="469">
        <v>496</v>
      </c>
      <c r="B1228" s="792" t="s">
        <v>1700</v>
      </c>
      <c r="C1228" s="481" t="s">
        <v>1701</v>
      </c>
      <c r="D1228" s="470">
        <v>1</v>
      </c>
      <c r="E1228" s="761"/>
      <c r="F1228" s="472"/>
      <c r="G1228" s="470"/>
      <c r="H1228" s="470">
        <v>1</v>
      </c>
      <c r="I1228" s="470"/>
      <c r="J1228" s="470"/>
    </row>
    <row r="1229" spans="1:10" s="174" customFormat="1">
      <c r="A1229" s="469">
        <v>497</v>
      </c>
      <c r="B1229" s="792" t="s">
        <v>1702</v>
      </c>
      <c r="C1229" s="481" t="s">
        <v>1703</v>
      </c>
      <c r="D1229" s="470">
        <v>1</v>
      </c>
      <c r="E1229" s="761"/>
      <c r="F1229" s="472"/>
      <c r="G1229" s="470"/>
      <c r="H1229" s="470">
        <v>1</v>
      </c>
      <c r="I1229" s="470"/>
      <c r="J1229" s="470"/>
    </row>
    <row r="1230" spans="1:10" s="174" customFormat="1">
      <c r="A1230" s="469">
        <v>498</v>
      </c>
      <c r="B1230" s="792" t="s">
        <v>1702</v>
      </c>
      <c r="C1230" s="481" t="s">
        <v>1704</v>
      </c>
      <c r="D1230" s="470">
        <v>1</v>
      </c>
      <c r="E1230" s="761"/>
      <c r="F1230" s="472"/>
      <c r="G1230" s="470"/>
      <c r="H1230" s="470">
        <v>1</v>
      </c>
      <c r="I1230" s="470"/>
      <c r="J1230" s="470"/>
    </row>
    <row r="1231" spans="1:10" s="174" customFormat="1">
      <c r="A1231" s="469">
        <v>499</v>
      </c>
      <c r="B1231" s="792" t="s">
        <v>1705</v>
      </c>
      <c r="C1231" s="481" t="s">
        <v>1706</v>
      </c>
      <c r="D1231" s="470">
        <v>1</v>
      </c>
      <c r="E1231" s="761"/>
      <c r="F1231" s="472"/>
      <c r="G1231" s="470"/>
      <c r="H1231" s="470">
        <v>1</v>
      </c>
      <c r="I1231" s="470"/>
      <c r="J1231" s="470"/>
    </row>
    <row r="1232" spans="1:10" s="174" customFormat="1">
      <c r="A1232" s="469">
        <v>500</v>
      </c>
      <c r="B1232" s="792" t="s">
        <v>1707</v>
      </c>
      <c r="C1232" s="481" t="s">
        <v>1708</v>
      </c>
      <c r="D1232" s="470">
        <v>18</v>
      </c>
      <c r="E1232" s="761"/>
      <c r="F1232" s="472"/>
      <c r="G1232" s="470"/>
      <c r="H1232" s="470">
        <v>9</v>
      </c>
      <c r="I1232" s="470">
        <v>9</v>
      </c>
      <c r="J1232" s="470"/>
    </row>
    <row r="1233" spans="1:10" s="174" customFormat="1">
      <c r="A1233" s="469">
        <v>501</v>
      </c>
      <c r="B1233" s="792" t="s">
        <v>1709</v>
      </c>
      <c r="C1233" s="481" t="s">
        <v>1710</v>
      </c>
      <c r="D1233" s="470">
        <v>22</v>
      </c>
      <c r="E1233" s="761"/>
      <c r="F1233" s="472"/>
      <c r="G1233" s="470"/>
      <c r="H1233" s="470">
        <v>11</v>
      </c>
      <c r="I1233" s="470">
        <v>11</v>
      </c>
      <c r="J1233" s="470"/>
    </row>
    <row r="1234" spans="1:10" s="174" customFormat="1">
      <c r="A1234" s="469">
        <v>502</v>
      </c>
      <c r="B1234" s="792" t="s">
        <v>1711</v>
      </c>
      <c r="C1234" s="481" t="s">
        <v>1712</v>
      </c>
      <c r="D1234" s="470">
        <v>1</v>
      </c>
      <c r="E1234" s="761"/>
      <c r="F1234" s="472"/>
      <c r="G1234" s="470"/>
      <c r="H1234" s="470">
        <v>1</v>
      </c>
      <c r="I1234" s="470"/>
      <c r="J1234" s="470"/>
    </row>
    <row r="1235" spans="1:10" s="174" customFormat="1">
      <c r="A1235" s="469">
        <v>503</v>
      </c>
      <c r="B1235" s="792" t="s">
        <v>1713</v>
      </c>
      <c r="C1235" s="481" t="s">
        <v>1714</v>
      </c>
      <c r="D1235" s="470">
        <v>2</v>
      </c>
      <c r="E1235" s="761"/>
      <c r="F1235" s="472"/>
      <c r="G1235" s="470"/>
      <c r="H1235" s="470">
        <v>2</v>
      </c>
      <c r="I1235" s="470"/>
      <c r="J1235" s="470"/>
    </row>
    <row r="1236" spans="1:10" s="174" customFormat="1">
      <c r="A1236" s="469">
        <v>504</v>
      </c>
      <c r="B1236" s="792" t="s">
        <v>1715</v>
      </c>
      <c r="C1236" s="481" t="s">
        <v>1622</v>
      </c>
      <c r="D1236" s="470">
        <v>22</v>
      </c>
      <c r="E1236" s="761"/>
      <c r="F1236" s="472"/>
      <c r="G1236" s="470"/>
      <c r="H1236" s="470">
        <v>11</v>
      </c>
      <c r="I1236" s="470">
        <v>11</v>
      </c>
      <c r="J1236" s="470"/>
    </row>
    <row r="1237" spans="1:10" s="174" customFormat="1">
      <c r="A1237" s="469">
        <v>505</v>
      </c>
      <c r="B1237" s="792" t="s">
        <v>1716</v>
      </c>
      <c r="C1237" s="481" t="s">
        <v>1717</v>
      </c>
      <c r="D1237" s="470">
        <v>5</v>
      </c>
      <c r="E1237" s="467"/>
      <c r="F1237" s="472"/>
      <c r="G1237" s="470"/>
      <c r="H1237" s="470">
        <v>3</v>
      </c>
      <c r="I1237" s="470">
        <v>2</v>
      </c>
      <c r="J1237" s="470"/>
    </row>
    <row r="1238" spans="1:10" s="174" customFormat="1">
      <c r="A1238" s="469">
        <v>506</v>
      </c>
      <c r="B1238" s="792" t="s">
        <v>1718</v>
      </c>
      <c r="C1238" s="481" t="s">
        <v>1719</v>
      </c>
      <c r="D1238" s="470">
        <v>1</v>
      </c>
      <c r="E1238" s="467"/>
      <c r="F1238" s="472"/>
      <c r="G1238" s="470"/>
      <c r="H1238" s="470">
        <v>1</v>
      </c>
      <c r="I1238" s="470"/>
      <c r="J1238" s="470"/>
    </row>
    <row r="1239" spans="1:10" s="174" customFormat="1">
      <c r="A1239" s="469">
        <v>507</v>
      </c>
      <c r="B1239" s="792" t="s">
        <v>1720</v>
      </c>
      <c r="C1239" s="481" t="s">
        <v>1721</v>
      </c>
      <c r="D1239" s="470">
        <v>35</v>
      </c>
      <c r="E1239" s="761"/>
      <c r="F1239" s="472"/>
      <c r="G1239" s="470"/>
      <c r="H1239" s="470">
        <v>15</v>
      </c>
      <c r="I1239" s="470">
        <v>10</v>
      </c>
      <c r="J1239" s="470">
        <v>10</v>
      </c>
    </row>
    <row r="1240" spans="1:10" s="174" customFormat="1" ht="30">
      <c r="A1240" s="469">
        <v>508</v>
      </c>
      <c r="B1240" s="792" t="s">
        <v>1722</v>
      </c>
      <c r="C1240" s="481" t="s">
        <v>1723</v>
      </c>
      <c r="D1240" s="470">
        <v>30</v>
      </c>
      <c r="E1240" s="761"/>
      <c r="F1240" s="472"/>
      <c r="G1240" s="470"/>
      <c r="H1240" s="470">
        <v>10</v>
      </c>
      <c r="I1240" s="470">
        <v>10</v>
      </c>
      <c r="J1240" s="470">
        <v>10</v>
      </c>
    </row>
    <row r="1241" spans="1:10" s="174" customFormat="1">
      <c r="A1241" s="469">
        <v>509</v>
      </c>
      <c r="B1241" s="792" t="s">
        <v>1724</v>
      </c>
      <c r="C1241" s="481" t="s">
        <v>1725</v>
      </c>
      <c r="D1241" s="470">
        <v>2</v>
      </c>
      <c r="E1241" s="761"/>
      <c r="F1241" s="472"/>
      <c r="G1241" s="470"/>
      <c r="H1241" s="470">
        <v>1</v>
      </c>
      <c r="I1241" s="470">
        <v>1</v>
      </c>
      <c r="J1241" s="470"/>
    </row>
    <row r="1242" spans="1:10" s="174" customFormat="1">
      <c r="A1242" s="469">
        <v>510</v>
      </c>
      <c r="B1242" s="792" t="s">
        <v>1726</v>
      </c>
      <c r="C1242" s="481" t="s">
        <v>1727</v>
      </c>
      <c r="D1242" s="470">
        <v>1</v>
      </c>
      <c r="E1242" s="761"/>
      <c r="F1242" s="472"/>
      <c r="G1242" s="470"/>
      <c r="H1242" s="470">
        <v>1</v>
      </c>
      <c r="I1242" s="470"/>
      <c r="J1242" s="470"/>
    </row>
    <row r="1243" spans="1:10" s="174" customFormat="1">
      <c r="A1243" s="469">
        <v>511</v>
      </c>
      <c r="B1243" s="792" t="s">
        <v>1728</v>
      </c>
      <c r="C1243" s="481" t="s">
        <v>1729</v>
      </c>
      <c r="D1243" s="470">
        <v>2</v>
      </c>
      <c r="E1243" s="761"/>
      <c r="F1243" s="472"/>
      <c r="G1243" s="470"/>
      <c r="H1243" s="470">
        <v>2</v>
      </c>
      <c r="I1243" s="470"/>
      <c r="J1243" s="470"/>
    </row>
    <row r="1244" spans="1:10" s="174" customFormat="1">
      <c r="A1244" s="469">
        <v>512</v>
      </c>
      <c r="B1244" s="792" t="s">
        <v>1730</v>
      </c>
      <c r="C1244" s="481" t="s">
        <v>1731</v>
      </c>
      <c r="D1244" s="470">
        <v>2</v>
      </c>
      <c r="E1244" s="761"/>
      <c r="F1244" s="472"/>
      <c r="G1244" s="470"/>
      <c r="H1244" s="470">
        <v>2</v>
      </c>
      <c r="I1244" s="470"/>
      <c r="J1244" s="470"/>
    </row>
    <row r="1245" spans="1:10" s="174" customFormat="1">
      <c r="A1245" s="469">
        <v>513</v>
      </c>
      <c r="B1245" s="792" t="s">
        <v>1732</v>
      </c>
      <c r="C1245" s="481" t="s">
        <v>1733</v>
      </c>
      <c r="D1245" s="470">
        <v>1</v>
      </c>
      <c r="E1245" s="761"/>
      <c r="F1245" s="472"/>
      <c r="G1245" s="470"/>
      <c r="H1245" s="470">
        <v>1</v>
      </c>
      <c r="I1245" s="470"/>
      <c r="J1245" s="470"/>
    </row>
    <row r="1246" spans="1:10" s="174" customFormat="1" ht="56.25" customHeight="1">
      <c r="A1246" s="1037" t="s">
        <v>1734</v>
      </c>
      <c r="B1246" s="1038"/>
      <c r="C1246" s="1038"/>
      <c r="D1246" s="1038"/>
      <c r="E1246" s="1038"/>
      <c r="F1246" s="1038"/>
      <c r="G1246" s="1038"/>
      <c r="H1246" s="1038"/>
      <c r="I1246" s="1038"/>
      <c r="J1246" s="1039"/>
    </row>
    <row r="1247" spans="1:10" s="174" customFormat="1">
      <c r="A1247" s="89">
        <v>514</v>
      </c>
      <c r="B1247" s="490" t="s">
        <v>1735</v>
      </c>
      <c r="C1247" s="466" t="s">
        <v>1736</v>
      </c>
      <c r="D1247" s="470">
        <v>4</v>
      </c>
      <c r="E1247" s="467" t="s">
        <v>1737</v>
      </c>
      <c r="F1247" s="472"/>
      <c r="G1247" s="470"/>
      <c r="H1247" s="470">
        <v>2</v>
      </c>
      <c r="I1247" s="470">
        <v>2</v>
      </c>
      <c r="J1247" s="471"/>
    </row>
    <row r="1248" spans="1:10" s="174" customFormat="1" ht="18.75">
      <c r="A1248" s="1037" t="s">
        <v>1738</v>
      </c>
      <c r="B1248" s="1038"/>
      <c r="C1248" s="1038"/>
      <c r="D1248" s="1038"/>
      <c r="E1248" s="1038"/>
      <c r="F1248" s="1038"/>
      <c r="G1248" s="1038"/>
      <c r="H1248" s="1038"/>
      <c r="I1248" s="1038"/>
      <c r="J1248" s="1039"/>
    </row>
    <row r="1249" spans="1:10" s="174" customFormat="1">
      <c r="A1249" s="48">
        <v>515</v>
      </c>
      <c r="B1249" s="490" t="s">
        <v>1739</v>
      </c>
      <c r="C1249" s="466" t="s">
        <v>1740</v>
      </c>
      <c r="D1249" s="470">
        <v>24</v>
      </c>
      <c r="E1249" s="761" t="s">
        <v>286</v>
      </c>
      <c r="F1249" s="472"/>
      <c r="G1249" s="470"/>
      <c r="H1249" s="470">
        <v>12</v>
      </c>
      <c r="I1249" s="470">
        <v>12</v>
      </c>
      <c r="J1249" s="470"/>
    </row>
    <row r="1250" spans="1:10" s="174" customFormat="1">
      <c r="A1250" s="48">
        <v>516</v>
      </c>
      <c r="B1250" s="490" t="s">
        <v>1741</v>
      </c>
      <c r="C1250" s="466" t="s">
        <v>1742</v>
      </c>
      <c r="D1250" s="470">
        <v>36</v>
      </c>
      <c r="E1250" s="761" t="s">
        <v>286</v>
      </c>
      <c r="F1250" s="472"/>
      <c r="G1250" s="470"/>
      <c r="H1250" s="470">
        <v>18</v>
      </c>
      <c r="I1250" s="470">
        <v>18</v>
      </c>
      <c r="J1250" s="470"/>
    </row>
    <row r="1251" spans="1:10" s="174" customFormat="1">
      <c r="A1251" s="469">
        <v>517</v>
      </c>
      <c r="B1251" s="490" t="s">
        <v>1743</v>
      </c>
      <c r="C1251" s="466" t="s">
        <v>1744</v>
      </c>
      <c r="D1251" s="470">
        <v>1</v>
      </c>
      <c r="E1251" s="761" t="s">
        <v>286</v>
      </c>
      <c r="F1251" s="472"/>
      <c r="G1251" s="470"/>
      <c r="H1251" s="470">
        <v>1</v>
      </c>
      <c r="I1251" s="470"/>
      <c r="J1251" s="470"/>
    </row>
    <row r="1252" spans="1:10" s="174" customFormat="1">
      <c r="A1252" s="469">
        <v>518</v>
      </c>
      <c r="B1252" s="490" t="s">
        <v>1745</v>
      </c>
      <c r="C1252" s="466" t="s">
        <v>1746</v>
      </c>
      <c r="D1252" s="470">
        <v>1</v>
      </c>
      <c r="E1252" s="761" t="s">
        <v>286</v>
      </c>
      <c r="F1252" s="472"/>
      <c r="G1252" s="470"/>
      <c r="H1252" s="470">
        <v>1</v>
      </c>
      <c r="I1252" s="470"/>
      <c r="J1252" s="470"/>
    </row>
    <row r="1253" spans="1:10" s="174" customFormat="1">
      <c r="A1253" s="469">
        <v>519</v>
      </c>
      <c r="B1253" s="490" t="s">
        <v>1747</v>
      </c>
      <c r="C1253" s="466" t="s">
        <v>1748</v>
      </c>
      <c r="D1253" s="470">
        <v>1</v>
      </c>
      <c r="E1253" s="761" t="s">
        <v>286</v>
      </c>
      <c r="F1253" s="472"/>
      <c r="G1253" s="470"/>
      <c r="H1253" s="470">
        <v>1</v>
      </c>
      <c r="I1253" s="470"/>
      <c r="J1253" s="470"/>
    </row>
    <row r="1254" spans="1:10" s="174" customFormat="1" ht="18.75">
      <c r="A1254" s="1037" t="s">
        <v>1749</v>
      </c>
      <c r="B1254" s="1038"/>
      <c r="C1254" s="1038"/>
      <c r="D1254" s="1038"/>
      <c r="E1254" s="1038"/>
      <c r="F1254" s="1038"/>
      <c r="G1254" s="1038"/>
      <c r="H1254" s="1038"/>
      <c r="I1254" s="1038"/>
      <c r="J1254" s="1039"/>
    </row>
    <row r="1255" spans="1:10" s="174" customFormat="1">
      <c r="A1255" s="48">
        <v>520</v>
      </c>
      <c r="B1255" s="490" t="s">
        <v>1750</v>
      </c>
      <c r="C1255" s="466" t="s">
        <v>1751</v>
      </c>
      <c r="D1255" s="470">
        <v>150</v>
      </c>
      <c r="E1255" s="761" t="s">
        <v>1752</v>
      </c>
      <c r="F1255" s="485"/>
      <c r="G1255" s="486"/>
      <c r="H1255" s="470">
        <v>150</v>
      </c>
      <c r="I1255" s="474"/>
      <c r="J1255" s="474"/>
    </row>
    <row r="1256" spans="1:10" s="174" customFormat="1">
      <c r="A1256" s="48">
        <v>521</v>
      </c>
      <c r="B1256" s="490" t="s">
        <v>1750</v>
      </c>
      <c r="C1256" s="466" t="s">
        <v>1753</v>
      </c>
      <c r="D1256" s="470">
        <v>100</v>
      </c>
      <c r="E1256" s="761" t="s">
        <v>1752</v>
      </c>
      <c r="F1256" s="485"/>
      <c r="G1256" s="486"/>
      <c r="H1256" s="470">
        <v>100</v>
      </c>
      <c r="I1256" s="474"/>
      <c r="J1256" s="474"/>
    </row>
    <row r="1257" spans="1:10" s="174" customFormat="1">
      <c r="A1257" s="469">
        <v>522</v>
      </c>
      <c r="B1257" s="490" t="s">
        <v>1750</v>
      </c>
      <c r="C1257" s="466" t="s">
        <v>1754</v>
      </c>
      <c r="D1257" s="470">
        <v>100</v>
      </c>
      <c r="E1257" s="761" t="s">
        <v>1752</v>
      </c>
      <c r="F1257" s="485"/>
      <c r="G1257" s="486"/>
      <c r="H1257" s="470">
        <v>100</v>
      </c>
      <c r="I1257" s="474"/>
      <c r="J1257" s="474"/>
    </row>
    <row r="1258" spans="1:10" s="174" customFormat="1">
      <c r="A1258" s="469">
        <v>523</v>
      </c>
      <c r="B1258" s="490" t="s">
        <v>1750</v>
      </c>
      <c r="C1258" s="466" t="s">
        <v>1755</v>
      </c>
      <c r="D1258" s="470">
        <v>1000</v>
      </c>
      <c r="E1258" s="761" t="s">
        <v>1752</v>
      </c>
      <c r="F1258" s="485"/>
      <c r="G1258" s="486"/>
      <c r="H1258" s="470">
        <v>1000</v>
      </c>
      <c r="I1258" s="474"/>
      <c r="J1258" s="474"/>
    </row>
    <row r="1259" spans="1:10" s="174" customFormat="1">
      <c r="A1259" s="469">
        <v>524</v>
      </c>
      <c r="B1259" s="490" t="s">
        <v>1750</v>
      </c>
      <c r="C1259" s="466" t="s">
        <v>1756</v>
      </c>
      <c r="D1259" s="470">
        <v>400</v>
      </c>
      <c r="E1259" s="761" t="s">
        <v>1752</v>
      </c>
      <c r="F1259" s="485"/>
      <c r="G1259" s="486"/>
      <c r="H1259" s="470">
        <v>400</v>
      </c>
      <c r="I1259" s="474"/>
      <c r="J1259" s="474"/>
    </row>
    <row r="1260" spans="1:10" s="174" customFormat="1">
      <c r="A1260" s="469">
        <v>525</v>
      </c>
      <c r="B1260" s="490" t="s">
        <v>1750</v>
      </c>
      <c r="C1260" s="466" t="s">
        <v>1757</v>
      </c>
      <c r="D1260" s="470">
        <v>300</v>
      </c>
      <c r="E1260" s="761" t="s">
        <v>1752</v>
      </c>
      <c r="F1260" s="485"/>
      <c r="G1260" s="486"/>
      <c r="H1260" s="470">
        <v>300</v>
      </c>
      <c r="I1260" s="474"/>
      <c r="J1260" s="474"/>
    </row>
    <row r="1261" spans="1:10" s="174" customFormat="1">
      <c r="A1261" s="469">
        <v>526</v>
      </c>
      <c r="B1261" s="490" t="s">
        <v>1750</v>
      </c>
      <c r="C1261" s="466" t="s">
        <v>1758</v>
      </c>
      <c r="D1261" s="470">
        <v>400</v>
      </c>
      <c r="E1261" s="761" t="s">
        <v>1752</v>
      </c>
      <c r="F1261" s="485"/>
      <c r="G1261" s="486"/>
      <c r="H1261" s="470">
        <v>400</v>
      </c>
      <c r="I1261" s="474"/>
      <c r="J1261" s="474"/>
    </row>
    <row r="1262" spans="1:10" s="174" customFormat="1">
      <c r="A1262" s="469">
        <v>527</v>
      </c>
      <c r="B1262" s="490" t="s">
        <v>1750</v>
      </c>
      <c r="C1262" s="466" t="s">
        <v>1759</v>
      </c>
      <c r="D1262" s="470">
        <v>300</v>
      </c>
      <c r="E1262" s="761" t="s">
        <v>1752</v>
      </c>
      <c r="F1262" s="485"/>
      <c r="G1262" s="486"/>
      <c r="H1262" s="470">
        <v>300</v>
      </c>
      <c r="I1262" s="474"/>
      <c r="J1262" s="474"/>
    </row>
    <row r="1263" spans="1:10" s="174" customFormat="1">
      <c r="A1263" s="469">
        <v>528</v>
      </c>
      <c r="B1263" s="490" t="s">
        <v>1750</v>
      </c>
      <c r="C1263" s="466" t="s">
        <v>1760</v>
      </c>
      <c r="D1263" s="470">
        <v>300</v>
      </c>
      <c r="E1263" s="761" t="s">
        <v>1752</v>
      </c>
      <c r="F1263" s="485"/>
      <c r="G1263" s="486"/>
      <c r="H1263" s="470">
        <v>300</v>
      </c>
      <c r="I1263" s="474"/>
      <c r="J1263" s="474"/>
    </row>
    <row r="1264" spans="1:10" s="174" customFormat="1">
      <c r="A1264" s="469">
        <v>529</v>
      </c>
      <c r="B1264" s="490" t="s">
        <v>1750</v>
      </c>
      <c r="C1264" s="466" t="s">
        <v>1761</v>
      </c>
      <c r="D1264" s="470">
        <v>500</v>
      </c>
      <c r="E1264" s="761" t="s">
        <v>1752</v>
      </c>
      <c r="F1264" s="485"/>
      <c r="G1264" s="486"/>
      <c r="H1264" s="470">
        <v>500</v>
      </c>
      <c r="I1264" s="474"/>
      <c r="J1264" s="474"/>
    </row>
    <row r="1265" spans="1:10" s="174" customFormat="1">
      <c r="A1265" s="469">
        <v>530</v>
      </c>
      <c r="B1265" s="490" t="s">
        <v>1750</v>
      </c>
      <c r="C1265" s="466" t="s">
        <v>1762</v>
      </c>
      <c r="D1265" s="470">
        <v>300</v>
      </c>
      <c r="E1265" s="761" t="s">
        <v>1752</v>
      </c>
      <c r="F1265" s="485"/>
      <c r="G1265" s="486"/>
      <c r="H1265" s="470">
        <v>300</v>
      </c>
      <c r="I1265" s="474"/>
      <c r="J1265" s="474"/>
    </row>
    <row r="1266" spans="1:10" s="174" customFormat="1">
      <c r="A1266" s="469">
        <v>531</v>
      </c>
      <c r="B1266" s="490" t="s">
        <v>1763</v>
      </c>
      <c r="C1266" s="466" t="s">
        <v>1764</v>
      </c>
      <c r="D1266" s="470">
        <v>500</v>
      </c>
      <c r="E1266" s="761" t="s">
        <v>1752</v>
      </c>
      <c r="F1266" s="485"/>
      <c r="G1266" s="486"/>
      <c r="H1266" s="470">
        <v>500</v>
      </c>
      <c r="I1266" s="474"/>
      <c r="J1266" s="474"/>
    </row>
    <row r="1267" spans="1:10" s="174" customFormat="1">
      <c r="A1267" s="469">
        <v>532</v>
      </c>
      <c r="B1267" s="490" t="s">
        <v>1763</v>
      </c>
      <c r="C1267" s="466" t="s">
        <v>1765</v>
      </c>
      <c r="D1267" s="470">
        <v>70</v>
      </c>
      <c r="E1267" s="761" t="s">
        <v>1752</v>
      </c>
      <c r="F1267" s="485"/>
      <c r="G1267" s="486"/>
      <c r="H1267" s="470">
        <v>70</v>
      </c>
      <c r="I1267" s="474"/>
      <c r="J1267" s="474"/>
    </row>
    <row r="1268" spans="1:10" s="174" customFormat="1">
      <c r="A1268" s="469">
        <v>533</v>
      </c>
      <c r="B1268" s="490" t="s">
        <v>1763</v>
      </c>
      <c r="C1268" s="466" t="s">
        <v>1766</v>
      </c>
      <c r="D1268" s="470">
        <v>50</v>
      </c>
      <c r="E1268" s="761" t="s">
        <v>1752</v>
      </c>
      <c r="F1268" s="485"/>
      <c r="G1268" s="486"/>
      <c r="H1268" s="470">
        <v>50</v>
      </c>
      <c r="I1268" s="474"/>
      <c r="J1268" s="474"/>
    </row>
    <row r="1269" spans="1:10" s="174" customFormat="1">
      <c r="A1269" s="469">
        <v>534</v>
      </c>
      <c r="B1269" s="490" t="s">
        <v>1763</v>
      </c>
      <c r="C1269" s="466" t="s">
        <v>1767</v>
      </c>
      <c r="D1269" s="470">
        <v>50</v>
      </c>
      <c r="E1269" s="761" t="s">
        <v>1752</v>
      </c>
      <c r="F1269" s="485"/>
      <c r="G1269" s="486"/>
      <c r="H1269" s="470">
        <v>50</v>
      </c>
      <c r="I1269" s="474"/>
      <c r="J1269" s="474"/>
    </row>
    <row r="1270" spans="1:10" s="174" customFormat="1">
      <c r="A1270" s="469">
        <v>535</v>
      </c>
      <c r="B1270" s="490" t="s">
        <v>1768</v>
      </c>
      <c r="C1270" s="466" t="s">
        <v>1767</v>
      </c>
      <c r="D1270" s="470">
        <v>500</v>
      </c>
      <c r="E1270" s="761" t="s">
        <v>1314</v>
      </c>
      <c r="F1270" s="485"/>
      <c r="G1270" s="486"/>
      <c r="H1270" s="470">
        <v>500</v>
      </c>
      <c r="I1270" s="474"/>
      <c r="J1270" s="474"/>
    </row>
    <row r="1271" spans="1:10" s="174" customFormat="1">
      <c r="A1271" s="469">
        <v>536</v>
      </c>
      <c r="B1271" s="490" t="s">
        <v>1768</v>
      </c>
      <c r="C1271" s="466" t="s">
        <v>1769</v>
      </c>
      <c r="D1271" s="470">
        <v>400</v>
      </c>
      <c r="E1271" s="761" t="s">
        <v>1314</v>
      </c>
      <c r="F1271" s="485"/>
      <c r="G1271" s="486"/>
      <c r="H1271" s="470">
        <v>400</v>
      </c>
      <c r="I1271" s="474"/>
      <c r="J1271" s="474"/>
    </row>
    <row r="1272" spans="1:10" s="174" customFormat="1">
      <c r="A1272" s="469">
        <v>537</v>
      </c>
      <c r="B1272" s="490" t="s">
        <v>1768</v>
      </c>
      <c r="C1272" s="466" t="s">
        <v>1770</v>
      </c>
      <c r="D1272" s="470">
        <v>400</v>
      </c>
      <c r="E1272" s="761" t="s">
        <v>1314</v>
      </c>
      <c r="F1272" s="485"/>
      <c r="G1272" s="486"/>
      <c r="H1272" s="470">
        <v>400</v>
      </c>
      <c r="I1272" s="474"/>
      <c r="J1272" s="474"/>
    </row>
    <row r="1273" spans="1:10" s="174" customFormat="1">
      <c r="A1273" s="469">
        <v>538</v>
      </c>
      <c r="B1273" s="490" t="s">
        <v>1768</v>
      </c>
      <c r="C1273" s="466" t="s">
        <v>1771</v>
      </c>
      <c r="D1273" s="470">
        <v>400</v>
      </c>
      <c r="E1273" s="761" t="s">
        <v>1314</v>
      </c>
      <c r="F1273" s="485"/>
      <c r="G1273" s="486"/>
      <c r="H1273" s="470">
        <v>400</v>
      </c>
      <c r="I1273" s="474"/>
      <c r="J1273" s="474"/>
    </row>
    <row r="1274" spans="1:10" s="174" customFormat="1">
      <c r="A1274" s="469">
        <v>539</v>
      </c>
      <c r="B1274" s="490" t="s">
        <v>1768</v>
      </c>
      <c r="C1274" s="466" t="s">
        <v>1772</v>
      </c>
      <c r="D1274" s="470">
        <v>300</v>
      </c>
      <c r="E1274" s="761" t="s">
        <v>1314</v>
      </c>
      <c r="F1274" s="485"/>
      <c r="G1274" s="486"/>
      <c r="H1274" s="470">
        <v>300</v>
      </c>
      <c r="I1274" s="474"/>
      <c r="J1274" s="474"/>
    </row>
    <row r="1275" spans="1:10" s="174" customFormat="1">
      <c r="A1275" s="469">
        <v>540</v>
      </c>
      <c r="B1275" s="490" t="s">
        <v>1773</v>
      </c>
      <c r="C1275" s="466" t="s">
        <v>1767</v>
      </c>
      <c r="D1275" s="470">
        <v>200</v>
      </c>
      <c r="E1275" s="761" t="s">
        <v>1314</v>
      </c>
      <c r="F1275" s="485"/>
      <c r="G1275" s="486"/>
      <c r="H1275" s="470">
        <v>200</v>
      </c>
      <c r="I1275" s="474"/>
      <c r="J1275" s="474"/>
    </row>
    <row r="1276" spans="1:10" s="174" customFormat="1">
      <c r="A1276" s="469">
        <v>541</v>
      </c>
      <c r="B1276" s="490" t="s">
        <v>1773</v>
      </c>
      <c r="C1276" s="466" t="s">
        <v>1769</v>
      </c>
      <c r="D1276" s="470">
        <v>100</v>
      </c>
      <c r="E1276" s="761" t="s">
        <v>1314</v>
      </c>
      <c r="F1276" s="485"/>
      <c r="G1276" s="486"/>
      <c r="H1276" s="470">
        <v>100</v>
      </c>
      <c r="I1276" s="474"/>
      <c r="J1276" s="474"/>
    </row>
    <row r="1277" spans="1:10" s="174" customFormat="1">
      <c r="A1277" s="469">
        <v>542</v>
      </c>
      <c r="B1277" s="490" t="s">
        <v>1773</v>
      </c>
      <c r="C1277" s="466" t="s">
        <v>1770</v>
      </c>
      <c r="D1277" s="470">
        <v>200</v>
      </c>
      <c r="E1277" s="761" t="s">
        <v>1314</v>
      </c>
      <c r="F1277" s="485"/>
      <c r="G1277" s="486"/>
      <c r="H1277" s="470">
        <v>200</v>
      </c>
      <c r="I1277" s="474"/>
      <c r="J1277" s="474"/>
    </row>
    <row r="1278" spans="1:10" s="174" customFormat="1">
      <c r="A1278" s="469">
        <v>543</v>
      </c>
      <c r="B1278" s="490" t="s">
        <v>1773</v>
      </c>
      <c r="C1278" s="466" t="s">
        <v>1771</v>
      </c>
      <c r="D1278" s="470">
        <v>200</v>
      </c>
      <c r="E1278" s="761" t="s">
        <v>1314</v>
      </c>
      <c r="F1278" s="485"/>
      <c r="G1278" s="486"/>
      <c r="H1278" s="470">
        <v>200</v>
      </c>
      <c r="I1278" s="474"/>
      <c r="J1278" s="474"/>
    </row>
    <row r="1279" spans="1:10" s="174" customFormat="1">
      <c r="A1279" s="469">
        <v>544</v>
      </c>
      <c r="B1279" s="490" t="s">
        <v>1773</v>
      </c>
      <c r="C1279" s="466" t="s">
        <v>1772</v>
      </c>
      <c r="D1279" s="470">
        <v>100</v>
      </c>
      <c r="E1279" s="761" t="s">
        <v>1752</v>
      </c>
      <c r="F1279" s="485"/>
      <c r="G1279" s="486"/>
      <c r="H1279" s="470">
        <v>100</v>
      </c>
      <c r="I1279" s="474"/>
      <c r="J1279" s="474"/>
    </row>
    <row r="1280" spans="1:10" s="174" customFormat="1" ht="18.75">
      <c r="A1280" s="1037" t="s">
        <v>596</v>
      </c>
      <c r="B1280" s="1038"/>
      <c r="C1280" s="1038"/>
      <c r="D1280" s="1038"/>
      <c r="E1280" s="1038"/>
      <c r="F1280" s="1038"/>
      <c r="G1280" s="1038"/>
      <c r="H1280" s="1038"/>
      <c r="I1280" s="1038"/>
      <c r="J1280" s="1039"/>
    </row>
    <row r="1281" spans="1:10" s="174" customFormat="1" ht="60">
      <c r="A1281" s="47">
        <v>545</v>
      </c>
      <c r="B1281" s="791" t="s">
        <v>2058</v>
      </c>
      <c r="C1281" s="467" t="s">
        <v>2059</v>
      </c>
      <c r="D1281" s="465">
        <v>31</v>
      </c>
      <c r="E1281" s="465" t="s">
        <v>286</v>
      </c>
      <c r="F1281" s="761" t="s">
        <v>2060</v>
      </c>
      <c r="G1281" s="465"/>
      <c r="H1281" s="465">
        <v>21</v>
      </c>
      <c r="I1281" s="465">
        <v>10</v>
      </c>
      <c r="J1281" s="465"/>
    </row>
    <row r="1282" spans="1:10" s="174" customFormat="1" ht="45">
      <c r="A1282" s="467">
        <v>546</v>
      </c>
      <c r="B1282" s="791" t="s">
        <v>2058</v>
      </c>
      <c r="C1282" s="467" t="s">
        <v>2061</v>
      </c>
      <c r="D1282" s="465">
        <v>24</v>
      </c>
      <c r="E1282" s="465" t="s">
        <v>286</v>
      </c>
      <c r="F1282" s="761" t="s">
        <v>2062</v>
      </c>
      <c r="G1282" s="465"/>
      <c r="H1282" s="465">
        <v>12</v>
      </c>
      <c r="I1282" s="465">
        <v>12</v>
      </c>
      <c r="J1282" s="465"/>
    </row>
    <row r="1283" spans="1:10" s="174" customFormat="1" ht="18.75">
      <c r="A1283" s="1052" t="s">
        <v>2893</v>
      </c>
      <c r="B1283" s="1052"/>
      <c r="C1283" s="1052"/>
      <c r="D1283" s="1052"/>
      <c r="E1283" s="1052"/>
      <c r="F1283" s="1052"/>
      <c r="G1283" s="1052"/>
      <c r="H1283" s="1052"/>
      <c r="I1283" s="1052"/>
      <c r="J1283" s="1052"/>
    </row>
    <row r="1284" spans="1:10" s="174" customFormat="1">
      <c r="A1284" s="82">
        <v>547</v>
      </c>
      <c r="B1284" s="490" t="s">
        <v>2894</v>
      </c>
      <c r="C1284" s="466" t="s">
        <v>2895</v>
      </c>
      <c r="D1284" s="470">
        <v>2</v>
      </c>
      <c r="E1284" s="761" t="s">
        <v>286</v>
      </c>
      <c r="F1284" s="485"/>
      <c r="G1284" s="470">
        <v>2</v>
      </c>
      <c r="H1284" s="470"/>
      <c r="I1284" s="474"/>
      <c r="J1284" s="474"/>
    </row>
    <row r="1285" spans="1:10" s="174" customFormat="1">
      <c r="A1285" s="82">
        <v>548</v>
      </c>
      <c r="B1285" s="223" t="s">
        <v>2896</v>
      </c>
      <c r="C1285" s="466" t="s">
        <v>2897</v>
      </c>
      <c r="D1285" s="470">
        <v>1</v>
      </c>
      <c r="E1285" s="761" t="s">
        <v>286</v>
      </c>
      <c r="F1285" s="485"/>
      <c r="G1285" s="470">
        <v>1</v>
      </c>
      <c r="H1285" s="470"/>
      <c r="I1285" s="474"/>
      <c r="J1285" s="474"/>
    </row>
    <row r="1286" spans="1:10" s="174" customFormat="1">
      <c r="A1286" s="464">
        <v>549</v>
      </c>
      <c r="B1286" s="490" t="s">
        <v>2898</v>
      </c>
      <c r="C1286" s="466" t="s">
        <v>2899</v>
      </c>
      <c r="D1286" s="470">
        <v>1</v>
      </c>
      <c r="E1286" s="761" t="s">
        <v>286</v>
      </c>
      <c r="F1286" s="485"/>
      <c r="G1286" s="470">
        <v>1</v>
      </c>
      <c r="H1286" s="470"/>
      <c r="I1286" s="474"/>
      <c r="J1286" s="474"/>
    </row>
    <row r="1287" spans="1:10" s="174" customFormat="1">
      <c r="A1287" s="464">
        <v>550</v>
      </c>
      <c r="B1287" s="490" t="s">
        <v>2900</v>
      </c>
      <c r="C1287" s="466" t="s">
        <v>2901</v>
      </c>
      <c r="D1287" s="470">
        <v>1</v>
      </c>
      <c r="E1287" s="761" t="s">
        <v>286</v>
      </c>
      <c r="F1287" s="485"/>
      <c r="G1287" s="470">
        <v>1</v>
      </c>
      <c r="H1287" s="470"/>
      <c r="I1287" s="474"/>
      <c r="J1287" s="474"/>
    </row>
    <row r="1288" spans="1:10" s="174" customFormat="1" ht="18.75" customHeight="1">
      <c r="A1288" s="464">
        <v>551</v>
      </c>
      <c r="B1288" s="490" t="s">
        <v>2902</v>
      </c>
      <c r="C1288" s="466" t="s">
        <v>2903</v>
      </c>
      <c r="D1288" s="470">
        <v>2</v>
      </c>
      <c r="E1288" s="761" t="s">
        <v>286</v>
      </c>
      <c r="F1288" s="485"/>
      <c r="G1288" s="470">
        <v>2</v>
      </c>
      <c r="H1288" s="470"/>
      <c r="I1288" s="474"/>
      <c r="J1288" s="474"/>
    </row>
    <row r="1289" spans="1:10" s="174" customFormat="1">
      <c r="A1289" s="464">
        <v>552</v>
      </c>
      <c r="B1289" s="490" t="s">
        <v>2904</v>
      </c>
      <c r="C1289" s="466" t="s">
        <v>2905</v>
      </c>
      <c r="D1289" s="470">
        <v>1</v>
      </c>
      <c r="E1289" s="761" t="s">
        <v>2906</v>
      </c>
      <c r="F1289" s="485"/>
      <c r="G1289" s="470">
        <v>1</v>
      </c>
      <c r="H1289" s="470"/>
      <c r="I1289" s="474"/>
      <c r="J1289" s="474"/>
    </row>
    <row r="1290" spans="1:10" s="174" customFormat="1">
      <c r="A1290" s="464">
        <v>553</v>
      </c>
      <c r="B1290" s="490" t="s">
        <v>2907</v>
      </c>
      <c r="C1290" s="466" t="s">
        <v>2908</v>
      </c>
      <c r="D1290" s="470">
        <v>2</v>
      </c>
      <c r="E1290" s="761" t="s">
        <v>2906</v>
      </c>
      <c r="F1290" s="485"/>
      <c r="G1290" s="470">
        <v>2</v>
      </c>
      <c r="H1290" s="470"/>
      <c r="I1290" s="474"/>
      <c r="J1290" s="474"/>
    </row>
    <row r="1291" spans="1:10" s="174" customFormat="1">
      <c r="A1291" s="464">
        <v>554</v>
      </c>
      <c r="B1291" s="490" t="s">
        <v>2909</v>
      </c>
      <c r="C1291" s="466" t="s">
        <v>2910</v>
      </c>
      <c r="D1291" s="470">
        <v>1</v>
      </c>
      <c r="E1291" s="761" t="s">
        <v>2906</v>
      </c>
      <c r="F1291" s="485"/>
      <c r="G1291" s="470">
        <v>1</v>
      </c>
      <c r="H1291" s="470"/>
      <c r="I1291" s="474"/>
      <c r="J1291" s="474"/>
    </row>
    <row r="1292" spans="1:10" s="174" customFormat="1">
      <c r="A1292" s="464">
        <v>555</v>
      </c>
      <c r="B1292" s="490" t="s">
        <v>2911</v>
      </c>
      <c r="C1292" s="466" t="s">
        <v>2912</v>
      </c>
      <c r="D1292" s="470">
        <v>2</v>
      </c>
      <c r="E1292" s="761" t="s">
        <v>2906</v>
      </c>
      <c r="F1292" s="485"/>
      <c r="G1292" s="470">
        <v>2</v>
      </c>
      <c r="H1292" s="470"/>
      <c r="I1292" s="474"/>
      <c r="J1292" s="474"/>
    </row>
    <row r="1293" spans="1:10" s="174" customFormat="1">
      <c r="A1293" s="464">
        <v>556</v>
      </c>
      <c r="B1293" s="490" t="s">
        <v>2913</v>
      </c>
      <c r="C1293" s="466" t="s">
        <v>2914</v>
      </c>
      <c r="D1293" s="470">
        <v>1</v>
      </c>
      <c r="E1293" s="761" t="s">
        <v>2906</v>
      </c>
      <c r="F1293" s="485"/>
      <c r="G1293" s="470">
        <v>1</v>
      </c>
      <c r="H1293" s="470"/>
      <c r="I1293" s="474"/>
      <c r="J1293" s="474"/>
    </row>
    <row r="1294" spans="1:10" s="174" customFormat="1">
      <c r="A1294" s="464">
        <v>557</v>
      </c>
      <c r="B1294" s="490" t="s">
        <v>2915</v>
      </c>
      <c r="C1294" s="466" t="s">
        <v>2916</v>
      </c>
      <c r="D1294" s="470">
        <v>1</v>
      </c>
      <c r="E1294" s="761" t="s">
        <v>2906</v>
      </c>
      <c r="F1294" s="485"/>
      <c r="G1294" s="470">
        <v>1</v>
      </c>
      <c r="H1294" s="470"/>
      <c r="I1294" s="474"/>
      <c r="J1294" s="474"/>
    </row>
    <row r="1295" spans="1:10" s="174" customFormat="1">
      <c r="A1295" s="464">
        <v>558</v>
      </c>
      <c r="B1295" s="490" t="s">
        <v>2917</v>
      </c>
      <c r="C1295" s="466" t="s">
        <v>2918</v>
      </c>
      <c r="D1295" s="470">
        <v>2</v>
      </c>
      <c r="E1295" s="761" t="s">
        <v>2906</v>
      </c>
      <c r="F1295" s="485"/>
      <c r="G1295" s="470">
        <v>2</v>
      </c>
      <c r="H1295" s="470"/>
      <c r="I1295" s="474"/>
      <c r="J1295" s="474"/>
    </row>
    <row r="1296" spans="1:10" s="174" customFormat="1">
      <c r="A1296" s="464">
        <v>559</v>
      </c>
      <c r="B1296" s="490" t="s">
        <v>2919</v>
      </c>
      <c r="C1296" s="466" t="s">
        <v>2920</v>
      </c>
      <c r="D1296" s="470">
        <v>1</v>
      </c>
      <c r="E1296" s="761" t="s">
        <v>2906</v>
      </c>
      <c r="F1296" s="485"/>
      <c r="G1296" s="470">
        <v>1</v>
      </c>
      <c r="H1296" s="470"/>
      <c r="I1296" s="474"/>
      <c r="J1296" s="474"/>
    </row>
    <row r="1297" spans="1:10" s="174" customFormat="1">
      <c r="A1297" s="464">
        <v>560</v>
      </c>
      <c r="B1297" s="490" t="s">
        <v>2921</v>
      </c>
      <c r="C1297" s="466" t="s">
        <v>2922</v>
      </c>
      <c r="D1297" s="470">
        <v>2</v>
      </c>
      <c r="E1297" s="761" t="s">
        <v>286</v>
      </c>
      <c r="F1297" s="485"/>
      <c r="G1297" s="470">
        <v>2</v>
      </c>
      <c r="H1297" s="470"/>
      <c r="I1297" s="474"/>
      <c r="J1297" s="474"/>
    </row>
    <row r="1298" spans="1:10" s="174" customFormat="1">
      <c r="A1298" s="464">
        <v>561</v>
      </c>
      <c r="B1298" s="490" t="s">
        <v>2923</v>
      </c>
      <c r="C1298" s="466" t="s">
        <v>2924</v>
      </c>
      <c r="D1298" s="470">
        <v>1</v>
      </c>
      <c r="E1298" s="761" t="s">
        <v>286</v>
      </c>
      <c r="F1298" s="485"/>
      <c r="G1298" s="470">
        <v>1</v>
      </c>
      <c r="H1298" s="470"/>
      <c r="I1298" s="474"/>
      <c r="J1298" s="474"/>
    </row>
    <row r="1299" spans="1:10" s="174" customFormat="1">
      <c r="A1299" s="464">
        <v>562</v>
      </c>
      <c r="B1299" s="490" t="s">
        <v>2925</v>
      </c>
      <c r="C1299" s="466" t="s">
        <v>2926</v>
      </c>
      <c r="D1299" s="470">
        <v>2</v>
      </c>
      <c r="E1299" s="761" t="s">
        <v>286</v>
      </c>
      <c r="F1299" s="485"/>
      <c r="G1299" s="470">
        <v>2</v>
      </c>
      <c r="H1299" s="470"/>
      <c r="I1299" s="474"/>
      <c r="J1299" s="474"/>
    </row>
    <row r="1300" spans="1:10" s="174" customFormat="1">
      <c r="A1300" s="464">
        <v>563</v>
      </c>
      <c r="B1300" s="490" t="s">
        <v>2927</v>
      </c>
      <c r="C1300" s="466" t="s">
        <v>2928</v>
      </c>
      <c r="D1300" s="470">
        <v>1</v>
      </c>
      <c r="E1300" s="761" t="s">
        <v>286</v>
      </c>
      <c r="F1300" s="485"/>
      <c r="G1300" s="470">
        <v>1</v>
      </c>
      <c r="H1300" s="470"/>
      <c r="I1300" s="474"/>
      <c r="J1300" s="474"/>
    </row>
    <row r="1301" spans="1:10" s="174" customFormat="1">
      <c r="A1301" s="464">
        <v>564</v>
      </c>
      <c r="B1301" s="490" t="s">
        <v>2929</v>
      </c>
      <c r="C1301" s="466" t="s">
        <v>2930</v>
      </c>
      <c r="D1301" s="470">
        <v>1</v>
      </c>
      <c r="E1301" s="761" t="s">
        <v>286</v>
      </c>
      <c r="F1301" s="485"/>
      <c r="G1301" s="470">
        <v>1</v>
      </c>
      <c r="H1301" s="470"/>
      <c r="I1301" s="474"/>
      <c r="J1301" s="474"/>
    </row>
    <row r="1302" spans="1:10" s="174" customFormat="1">
      <c r="A1302" s="464">
        <v>565</v>
      </c>
      <c r="B1302" s="490" t="s">
        <v>2931</v>
      </c>
      <c r="C1302" s="466" t="s">
        <v>2932</v>
      </c>
      <c r="D1302" s="470">
        <v>2</v>
      </c>
      <c r="E1302" s="761" t="s">
        <v>286</v>
      </c>
      <c r="F1302" s="485"/>
      <c r="G1302" s="470">
        <v>2</v>
      </c>
      <c r="H1302" s="470"/>
      <c r="I1302" s="474"/>
      <c r="J1302" s="474"/>
    </row>
    <row r="1303" spans="1:10" s="174" customFormat="1">
      <c r="A1303" s="464">
        <v>566</v>
      </c>
      <c r="B1303" s="490" t="s">
        <v>2933</v>
      </c>
      <c r="C1303" s="466" t="s">
        <v>2934</v>
      </c>
      <c r="D1303" s="470">
        <v>2</v>
      </c>
      <c r="E1303" s="761" t="s">
        <v>2906</v>
      </c>
      <c r="F1303" s="485"/>
      <c r="G1303" s="470">
        <v>2</v>
      </c>
      <c r="H1303" s="470"/>
      <c r="I1303" s="474"/>
      <c r="J1303" s="474"/>
    </row>
    <row r="1304" spans="1:10" s="174" customFormat="1">
      <c r="A1304" s="464">
        <v>567</v>
      </c>
      <c r="B1304" s="490" t="s">
        <v>2933</v>
      </c>
      <c r="C1304" s="466" t="s">
        <v>2935</v>
      </c>
      <c r="D1304" s="470">
        <v>2</v>
      </c>
      <c r="E1304" s="761" t="s">
        <v>2906</v>
      </c>
      <c r="F1304" s="485"/>
      <c r="G1304" s="470">
        <v>2</v>
      </c>
      <c r="H1304" s="470"/>
      <c r="I1304" s="474"/>
      <c r="J1304" s="474"/>
    </row>
    <row r="1305" spans="1:10" s="174" customFormat="1">
      <c r="A1305" s="464">
        <v>568</v>
      </c>
      <c r="B1305" s="490" t="s">
        <v>2936</v>
      </c>
      <c r="C1305" s="466" t="s">
        <v>2937</v>
      </c>
      <c r="D1305" s="470">
        <v>1</v>
      </c>
      <c r="E1305" s="761" t="s">
        <v>2906</v>
      </c>
      <c r="F1305" s="485"/>
      <c r="G1305" s="470">
        <v>1</v>
      </c>
      <c r="H1305" s="470"/>
      <c r="I1305" s="474"/>
      <c r="J1305" s="474"/>
    </row>
    <row r="1306" spans="1:10" s="174" customFormat="1">
      <c r="A1306" s="464">
        <v>569</v>
      </c>
      <c r="B1306" s="490" t="s">
        <v>2938</v>
      </c>
      <c r="C1306" s="466" t="s">
        <v>2939</v>
      </c>
      <c r="D1306" s="470">
        <v>1</v>
      </c>
      <c r="E1306" s="761" t="s">
        <v>286</v>
      </c>
      <c r="F1306" s="485"/>
      <c r="G1306" s="470">
        <v>1</v>
      </c>
      <c r="H1306" s="470"/>
      <c r="I1306" s="474"/>
      <c r="J1306" s="474"/>
    </row>
    <row r="1307" spans="1:10" s="174" customFormat="1">
      <c r="A1307" s="464">
        <v>570</v>
      </c>
      <c r="B1307" s="490" t="s">
        <v>2940</v>
      </c>
      <c r="C1307" s="466" t="s">
        <v>2941</v>
      </c>
      <c r="D1307" s="470">
        <v>1</v>
      </c>
      <c r="E1307" s="761" t="s">
        <v>286</v>
      </c>
      <c r="F1307" s="485"/>
      <c r="G1307" s="470">
        <v>1</v>
      </c>
      <c r="H1307" s="470"/>
      <c r="I1307" s="474"/>
      <c r="J1307" s="474"/>
    </row>
    <row r="1308" spans="1:10" s="174" customFormat="1">
      <c r="A1308" s="464">
        <v>571</v>
      </c>
      <c r="B1308" s="490" t="s">
        <v>2942</v>
      </c>
      <c r="C1308" s="466" t="s">
        <v>2943</v>
      </c>
      <c r="D1308" s="470">
        <v>1</v>
      </c>
      <c r="E1308" s="761" t="s">
        <v>2906</v>
      </c>
      <c r="F1308" s="485"/>
      <c r="G1308" s="470">
        <v>1</v>
      </c>
      <c r="H1308" s="470"/>
      <c r="I1308" s="474"/>
      <c r="J1308" s="474"/>
    </row>
    <row r="1309" spans="1:10" s="174" customFormat="1">
      <c r="A1309" s="464">
        <v>572</v>
      </c>
      <c r="B1309" s="490" t="s">
        <v>2944</v>
      </c>
      <c r="C1309" s="466" t="s">
        <v>2945</v>
      </c>
      <c r="D1309" s="470">
        <v>2</v>
      </c>
      <c r="E1309" s="761" t="s">
        <v>286</v>
      </c>
      <c r="F1309" s="485"/>
      <c r="G1309" s="470">
        <v>2</v>
      </c>
      <c r="H1309" s="470"/>
      <c r="I1309" s="474"/>
      <c r="J1309" s="474"/>
    </row>
    <row r="1310" spans="1:10" s="174" customFormat="1">
      <c r="A1310" s="464">
        <v>573</v>
      </c>
      <c r="B1310" s="490" t="s">
        <v>2946</v>
      </c>
      <c r="C1310" s="466" t="s">
        <v>2947</v>
      </c>
      <c r="D1310" s="470">
        <v>2</v>
      </c>
      <c r="E1310" s="761" t="s">
        <v>286</v>
      </c>
      <c r="F1310" s="485"/>
      <c r="G1310" s="470">
        <v>2</v>
      </c>
      <c r="H1310" s="470"/>
      <c r="I1310" s="474"/>
      <c r="J1310" s="474"/>
    </row>
    <row r="1311" spans="1:10" s="174" customFormat="1">
      <c r="A1311" s="464">
        <v>574</v>
      </c>
      <c r="B1311" s="490" t="s">
        <v>2948</v>
      </c>
      <c r="C1311" s="466" t="s">
        <v>2949</v>
      </c>
      <c r="D1311" s="470">
        <v>2</v>
      </c>
      <c r="E1311" s="761" t="s">
        <v>2906</v>
      </c>
      <c r="F1311" s="485"/>
      <c r="G1311" s="470">
        <v>2</v>
      </c>
      <c r="H1311" s="470"/>
      <c r="I1311" s="474"/>
      <c r="J1311" s="474"/>
    </row>
    <row r="1312" spans="1:10" s="174" customFormat="1">
      <c r="A1312" s="464">
        <v>575</v>
      </c>
      <c r="B1312" s="490" t="s">
        <v>2950</v>
      </c>
      <c r="C1312" s="466" t="s">
        <v>2951</v>
      </c>
      <c r="D1312" s="470">
        <v>2</v>
      </c>
      <c r="E1312" s="761" t="s">
        <v>2906</v>
      </c>
      <c r="F1312" s="485"/>
      <c r="G1312" s="470">
        <v>2</v>
      </c>
      <c r="H1312" s="470"/>
      <c r="I1312" s="474"/>
      <c r="J1312" s="474"/>
    </row>
    <row r="1313" spans="1:10" s="174" customFormat="1">
      <c r="A1313" s="464">
        <v>576</v>
      </c>
      <c r="B1313" s="490" t="s">
        <v>2952</v>
      </c>
      <c r="C1313" s="466" t="s">
        <v>2953</v>
      </c>
      <c r="D1313" s="470">
        <v>2</v>
      </c>
      <c r="E1313" s="761" t="s">
        <v>286</v>
      </c>
      <c r="F1313" s="485"/>
      <c r="G1313" s="470">
        <v>2</v>
      </c>
      <c r="H1313" s="470"/>
      <c r="I1313" s="474"/>
      <c r="J1313" s="474"/>
    </row>
    <row r="1314" spans="1:10" s="174" customFormat="1" ht="18.75" customHeight="1">
      <c r="A1314" s="464">
        <v>577</v>
      </c>
      <c r="B1314" s="490" t="s">
        <v>2954</v>
      </c>
      <c r="C1314" s="466" t="s">
        <v>2955</v>
      </c>
      <c r="D1314" s="470">
        <v>2</v>
      </c>
      <c r="E1314" s="761" t="s">
        <v>286</v>
      </c>
      <c r="F1314" s="485"/>
      <c r="G1314" s="470">
        <v>2</v>
      </c>
      <c r="H1314" s="470"/>
      <c r="I1314" s="474"/>
      <c r="J1314" s="474"/>
    </row>
    <row r="1315" spans="1:10" s="174" customFormat="1">
      <c r="A1315" s="464">
        <v>578</v>
      </c>
      <c r="B1315" s="490" t="s">
        <v>2956</v>
      </c>
      <c r="C1315" s="466" t="s">
        <v>2957</v>
      </c>
      <c r="D1315" s="470">
        <v>2</v>
      </c>
      <c r="E1315" s="761" t="s">
        <v>286</v>
      </c>
      <c r="F1315" s="485"/>
      <c r="G1315" s="470">
        <v>2</v>
      </c>
      <c r="H1315" s="470"/>
      <c r="I1315" s="474"/>
      <c r="J1315" s="474"/>
    </row>
    <row r="1316" spans="1:10" s="174" customFormat="1">
      <c r="A1316" s="464">
        <v>579</v>
      </c>
      <c r="B1316" s="490" t="s">
        <v>2958</v>
      </c>
      <c r="C1316" s="466" t="s">
        <v>2959</v>
      </c>
      <c r="D1316" s="470">
        <v>2</v>
      </c>
      <c r="E1316" s="761" t="s">
        <v>286</v>
      </c>
      <c r="F1316" s="485"/>
      <c r="G1316" s="470">
        <v>2</v>
      </c>
      <c r="H1316" s="470"/>
      <c r="I1316" s="474"/>
      <c r="J1316" s="474"/>
    </row>
    <row r="1317" spans="1:10" s="174" customFormat="1">
      <c r="A1317" s="464">
        <v>580</v>
      </c>
      <c r="B1317" s="490" t="s">
        <v>2960</v>
      </c>
      <c r="C1317" s="466" t="s">
        <v>2961</v>
      </c>
      <c r="D1317" s="470">
        <v>2</v>
      </c>
      <c r="E1317" s="761" t="s">
        <v>286</v>
      </c>
      <c r="F1317" s="485"/>
      <c r="G1317" s="470">
        <v>2</v>
      </c>
      <c r="H1317" s="470"/>
      <c r="I1317" s="474"/>
      <c r="J1317" s="474"/>
    </row>
    <row r="1318" spans="1:10" s="174" customFormat="1">
      <c r="A1318" s="464">
        <v>581</v>
      </c>
      <c r="B1318" s="490" t="s">
        <v>2962</v>
      </c>
      <c r="C1318" s="466" t="s">
        <v>2963</v>
      </c>
      <c r="D1318" s="470">
        <v>2</v>
      </c>
      <c r="E1318" s="761" t="s">
        <v>286</v>
      </c>
      <c r="F1318" s="485"/>
      <c r="G1318" s="470">
        <v>2</v>
      </c>
      <c r="H1318" s="470"/>
      <c r="I1318" s="474"/>
      <c r="J1318" s="474"/>
    </row>
    <row r="1319" spans="1:10" s="174" customFormat="1">
      <c r="A1319" s="464">
        <v>582</v>
      </c>
      <c r="B1319" s="490" t="s">
        <v>2964</v>
      </c>
      <c r="C1319" s="466" t="s">
        <v>2965</v>
      </c>
      <c r="D1319" s="470">
        <v>1</v>
      </c>
      <c r="E1319" s="761" t="s">
        <v>286</v>
      </c>
      <c r="F1319" s="485"/>
      <c r="G1319" s="470">
        <v>1</v>
      </c>
      <c r="H1319" s="470"/>
      <c r="I1319" s="474"/>
      <c r="J1319" s="474"/>
    </row>
    <row r="1320" spans="1:10" s="174" customFormat="1">
      <c r="A1320" s="464">
        <v>583</v>
      </c>
      <c r="B1320" s="490" t="s">
        <v>2966</v>
      </c>
      <c r="C1320" s="466" t="s">
        <v>2967</v>
      </c>
      <c r="D1320" s="470">
        <v>1</v>
      </c>
      <c r="E1320" s="761" t="s">
        <v>286</v>
      </c>
      <c r="F1320" s="485"/>
      <c r="G1320" s="470">
        <v>1</v>
      </c>
      <c r="H1320" s="470"/>
      <c r="I1320" s="474"/>
      <c r="J1320" s="474"/>
    </row>
    <row r="1321" spans="1:10" s="174" customFormat="1">
      <c r="A1321" s="464">
        <v>584</v>
      </c>
      <c r="B1321" s="490" t="s">
        <v>2968</v>
      </c>
      <c r="C1321" s="466" t="s">
        <v>2969</v>
      </c>
      <c r="D1321" s="470">
        <v>1</v>
      </c>
      <c r="E1321" s="761" t="s">
        <v>286</v>
      </c>
      <c r="F1321" s="485"/>
      <c r="G1321" s="470">
        <v>1</v>
      </c>
      <c r="H1321" s="470"/>
      <c r="I1321" s="474"/>
      <c r="J1321" s="474"/>
    </row>
    <row r="1322" spans="1:10" s="174" customFormat="1">
      <c r="A1322" s="464">
        <v>585</v>
      </c>
      <c r="B1322" s="490" t="s">
        <v>2970</v>
      </c>
      <c r="C1322" s="466" t="s">
        <v>2971</v>
      </c>
      <c r="D1322" s="470">
        <v>2</v>
      </c>
      <c r="E1322" s="761" t="s">
        <v>286</v>
      </c>
      <c r="F1322" s="485"/>
      <c r="G1322" s="470">
        <v>2</v>
      </c>
      <c r="H1322" s="470"/>
      <c r="I1322" s="474"/>
      <c r="J1322" s="474"/>
    </row>
    <row r="1323" spans="1:10" s="174" customFormat="1">
      <c r="A1323" s="464">
        <v>586</v>
      </c>
      <c r="B1323" s="490" t="s">
        <v>2972</v>
      </c>
      <c r="C1323" s="466" t="s">
        <v>2973</v>
      </c>
      <c r="D1323" s="470">
        <v>2</v>
      </c>
      <c r="E1323" s="761" t="s">
        <v>2906</v>
      </c>
      <c r="F1323" s="485"/>
      <c r="G1323" s="470">
        <v>2</v>
      </c>
      <c r="H1323" s="470"/>
      <c r="I1323" s="474"/>
      <c r="J1323" s="474"/>
    </row>
    <row r="1324" spans="1:10" s="174" customFormat="1">
      <c r="A1324" s="464">
        <v>587</v>
      </c>
      <c r="B1324" s="490" t="s">
        <v>2974</v>
      </c>
      <c r="C1324" s="466" t="s">
        <v>2975</v>
      </c>
      <c r="D1324" s="470">
        <v>2</v>
      </c>
      <c r="E1324" s="761" t="s">
        <v>2906</v>
      </c>
      <c r="F1324" s="485"/>
      <c r="G1324" s="470">
        <v>2</v>
      </c>
      <c r="H1324" s="470"/>
      <c r="I1324" s="474"/>
      <c r="J1324" s="474"/>
    </row>
    <row r="1325" spans="1:10" s="174" customFormat="1">
      <c r="A1325" s="464">
        <v>588</v>
      </c>
      <c r="B1325" s="490" t="s">
        <v>2976</v>
      </c>
      <c r="C1325" s="466" t="s">
        <v>2977</v>
      </c>
      <c r="D1325" s="470">
        <v>2</v>
      </c>
      <c r="E1325" s="761" t="s">
        <v>286</v>
      </c>
      <c r="F1325" s="485"/>
      <c r="G1325" s="470">
        <v>2</v>
      </c>
      <c r="H1325" s="470"/>
      <c r="I1325" s="474"/>
      <c r="J1325" s="474"/>
    </row>
    <row r="1326" spans="1:10" s="174" customFormat="1">
      <c r="A1326" s="464">
        <v>589</v>
      </c>
      <c r="B1326" s="490" t="s">
        <v>2976</v>
      </c>
      <c r="C1326" s="466" t="s">
        <v>2978</v>
      </c>
      <c r="D1326" s="470">
        <v>2</v>
      </c>
      <c r="E1326" s="761" t="s">
        <v>286</v>
      </c>
      <c r="F1326" s="485"/>
      <c r="G1326" s="470">
        <v>2</v>
      </c>
      <c r="H1326" s="470"/>
      <c r="I1326" s="474"/>
      <c r="J1326" s="474"/>
    </row>
    <row r="1327" spans="1:10" s="174" customFormat="1">
      <c r="A1327" s="464">
        <v>590</v>
      </c>
      <c r="B1327" s="490" t="s">
        <v>2976</v>
      </c>
      <c r="C1327" s="466" t="s">
        <v>2979</v>
      </c>
      <c r="D1327" s="470">
        <v>2</v>
      </c>
      <c r="E1327" s="761" t="s">
        <v>286</v>
      </c>
      <c r="F1327" s="485"/>
      <c r="G1327" s="470">
        <v>2</v>
      </c>
      <c r="H1327" s="470"/>
      <c r="I1327" s="474"/>
      <c r="J1327" s="474"/>
    </row>
    <row r="1328" spans="1:10" s="174" customFormat="1">
      <c r="A1328" s="464">
        <v>591</v>
      </c>
      <c r="B1328" s="490" t="s">
        <v>2976</v>
      </c>
      <c r="C1328" s="466" t="s">
        <v>2980</v>
      </c>
      <c r="D1328" s="470">
        <v>2</v>
      </c>
      <c r="E1328" s="761" t="s">
        <v>286</v>
      </c>
      <c r="F1328" s="485"/>
      <c r="G1328" s="470">
        <v>2</v>
      </c>
      <c r="H1328" s="470"/>
      <c r="I1328" s="474"/>
      <c r="J1328" s="474"/>
    </row>
    <row r="1329" spans="1:10" s="174" customFormat="1">
      <c r="A1329" s="464">
        <v>592</v>
      </c>
      <c r="B1329" s="490" t="s">
        <v>2976</v>
      </c>
      <c r="C1329" s="466" t="s">
        <v>2981</v>
      </c>
      <c r="D1329" s="470">
        <v>2</v>
      </c>
      <c r="E1329" s="761" t="s">
        <v>286</v>
      </c>
      <c r="F1329" s="485"/>
      <c r="G1329" s="470">
        <v>2</v>
      </c>
      <c r="H1329" s="470"/>
      <c r="I1329" s="474"/>
      <c r="J1329" s="474"/>
    </row>
    <row r="1330" spans="1:10" s="174" customFormat="1">
      <c r="A1330" s="464">
        <v>593</v>
      </c>
      <c r="B1330" s="490" t="s">
        <v>2982</v>
      </c>
      <c r="C1330" s="466" t="s">
        <v>2983</v>
      </c>
      <c r="D1330" s="470">
        <v>1</v>
      </c>
      <c r="E1330" s="761" t="s">
        <v>2906</v>
      </c>
      <c r="F1330" s="485"/>
      <c r="G1330" s="470">
        <v>1</v>
      </c>
      <c r="H1330" s="470"/>
      <c r="I1330" s="474"/>
      <c r="J1330" s="474"/>
    </row>
    <row r="1331" spans="1:10" s="174" customFormat="1">
      <c r="A1331" s="464">
        <v>594</v>
      </c>
      <c r="B1331" s="490" t="s">
        <v>2984</v>
      </c>
      <c r="C1331" s="466" t="s">
        <v>2985</v>
      </c>
      <c r="D1331" s="470">
        <v>1</v>
      </c>
      <c r="E1331" s="761" t="s">
        <v>286</v>
      </c>
      <c r="F1331" s="485"/>
      <c r="G1331" s="470">
        <v>1</v>
      </c>
      <c r="H1331" s="470"/>
      <c r="I1331" s="474"/>
      <c r="J1331" s="474"/>
    </row>
    <row r="1332" spans="1:10" s="174" customFormat="1">
      <c r="A1332" s="464">
        <v>595</v>
      </c>
      <c r="B1332" s="490" t="s">
        <v>2986</v>
      </c>
      <c r="C1332" s="466" t="s">
        <v>2987</v>
      </c>
      <c r="D1332" s="470">
        <v>1</v>
      </c>
      <c r="E1332" s="761" t="s">
        <v>286</v>
      </c>
      <c r="F1332" s="485"/>
      <c r="G1332" s="470">
        <v>1</v>
      </c>
      <c r="H1332" s="470"/>
      <c r="I1332" s="474"/>
      <c r="J1332" s="474"/>
    </row>
    <row r="1333" spans="1:10" s="174" customFormat="1">
      <c r="A1333" s="464">
        <v>596</v>
      </c>
      <c r="B1333" s="490" t="s">
        <v>2986</v>
      </c>
      <c r="C1333" s="466" t="s">
        <v>2988</v>
      </c>
      <c r="D1333" s="470">
        <v>1</v>
      </c>
      <c r="E1333" s="761" t="s">
        <v>286</v>
      </c>
      <c r="F1333" s="485"/>
      <c r="G1333" s="470">
        <v>1</v>
      </c>
      <c r="H1333" s="470"/>
      <c r="I1333" s="474"/>
      <c r="J1333" s="474"/>
    </row>
    <row r="1334" spans="1:10" s="174" customFormat="1">
      <c r="A1334" s="464">
        <v>597</v>
      </c>
      <c r="B1334" s="490" t="s">
        <v>2989</v>
      </c>
      <c r="C1334" s="466" t="s">
        <v>2990</v>
      </c>
      <c r="D1334" s="470">
        <v>1</v>
      </c>
      <c r="E1334" s="761" t="s">
        <v>286</v>
      </c>
      <c r="F1334" s="485"/>
      <c r="G1334" s="470">
        <v>1</v>
      </c>
      <c r="H1334" s="470"/>
      <c r="I1334" s="474"/>
      <c r="J1334" s="474"/>
    </row>
    <row r="1335" spans="1:10" s="174" customFormat="1" ht="26.25">
      <c r="A1335" s="1029" t="s">
        <v>2848</v>
      </c>
      <c r="B1335" s="1029"/>
      <c r="C1335" s="1029"/>
      <c r="D1335" s="1029"/>
      <c r="E1335" s="1029"/>
      <c r="F1335" s="1029"/>
      <c r="G1335" s="1029"/>
      <c r="H1335" s="1029"/>
      <c r="I1335" s="1029"/>
      <c r="J1335" s="1029"/>
    </row>
    <row r="1336" spans="1:10" s="174" customFormat="1" ht="15.75">
      <c r="A1336" s="1043" t="s">
        <v>1793</v>
      </c>
      <c r="B1336" s="1044"/>
      <c r="C1336" s="1044"/>
      <c r="D1336" s="1044"/>
      <c r="E1336" s="1044"/>
      <c r="F1336" s="1044"/>
      <c r="G1336" s="1044"/>
      <c r="H1336" s="1044"/>
      <c r="I1336" s="1044"/>
      <c r="J1336" s="1045"/>
    </row>
    <row r="1337" spans="1:10" s="174" customFormat="1" ht="15.75">
      <c r="A1337" s="165">
        <v>1</v>
      </c>
      <c r="B1337" s="179" t="s">
        <v>1794</v>
      </c>
      <c r="C1337" s="674" t="s">
        <v>1795</v>
      </c>
      <c r="D1337" s="671">
        <v>4</v>
      </c>
      <c r="E1337" s="63" t="s">
        <v>464</v>
      </c>
      <c r="F1337" s="59"/>
      <c r="G1337" s="59"/>
      <c r="H1337" s="59">
        <v>2</v>
      </c>
      <c r="I1337" s="59">
        <v>2</v>
      </c>
      <c r="J1337" s="59"/>
    </row>
    <row r="1338" spans="1:10" s="174" customFormat="1" ht="15.75">
      <c r="A1338" s="165">
        <v>3</v>
      </c>
      <c r="B1338" s="179" t="s">
        <v>2877</v>
      </c>
      <c r="C1338" s="674" t="s">
        <v>2878</v>
      </c>
      <c r="D1338" s="671">
        <v>2</v>
      </c>
      <c r="E1338" s="63" t="s">
        <v>286</v>
      </c>
      <c r="F1338" s="59"/>
      <c r="G1338" s="59"/>
      <c r="H1338" s="59">
        <v>2</v>
      </c>
      <c r="I1338" s="59"/>
      <c r="J1338" s="59"/>
    </row>
    <row r="1339" spans="1:10" s="174" customFormat="1" ht="15.75">
      <c r="A1339" s="165">
        <v>4</v>
      </c>
      <c r="B1339" s="179" t="s">
        <v>2879</v>
      </c>
      <c r="C1339" s="674" t="s">
        <v>2880</v>
      </c>
      <c r="D1339" s="671">
        <v>2</v>
      </c>
      <c r="E1339" s="63" t="s">
        <v>286</v>
      </c>
      <c r="F1339" s="59"/>
      <c r="G1339" s="59"/>
      <c r="H1339" s="59">
        <v>2</v>
      </c>
      <c r="I1339" s="59"/>
      <c r="J1339" s="59"/>
    </row>
    <row r="1340" spans="1:10" s="174" customFormat="1" ht="15.75">
      <c r="A1340" s="1043" t="s">
        <v>1796</v>
      </c>
      <c r="B1340" s="1044"/>
      <c r="C1340" s="1044"/>
      <c r="D1340" s="1044"/>
      <c r="E1340" s="1044"/>
      <c r="F1340" s="1044"/>
      <c r="G1340" s="1044"/>
      <c r="H1340" s="1044"/>
      <c r="I1340" s="1044"/>
      <c r="J1340" s="1045"/>
    </row>
    <row r="1341" spans="1:10" s="174" customFormat="1" ht="15.75">
      <c r="A1341" s="165">
        <v>4</v>
      </c>
      <c r="B1341" s="769" t="s">
        <v>2014</v>
      </c>
      <c r="C1341" s="77" t="s">
        <v>2015</v>
      </c>
      <c r="D1341" s="176">
        <v>0.19</v>
      </c>
      <c r="E1341" s="63" t="s">
        <v>89</v>
      </c>
      <c r="F1341" s="59" t="s">
        <v>2016</v>
      </c>
      <c r="G1341" s="59"/>
      <c r="H1341" s="59">
        <v>0.19</v>
      </c>
      <c r="I1341" s="59"/>
      <c r="J1341" s="59"/>
    </row>
    <row r="1342" spans="1:10" s="174" customFormat="1" ht="15.75">
      <c r="A1342" s="165">
        <v>5</v>
      </c>
      <c r="B1342" s="769" t="s">
        <v>1798</v>
      </c>
      <c r="C1342" s="77" t="s">
        <v>2015</v>
      </c>
      <c r="D1342" s="72">
        <v>1.6</v>
      </c>
      <c r="E1342" s="63" t="s">
        <v>89</v>
      </c>
      <c r="F1342" s="59" t="s">
        <v>2017</v>
      </c>
      <c r="G1342" s="59"/>
      <c r="H1342" s="59">
        <v>0.59299999999999997</v>
      </c>
      <c r="I1342" s="59">
        <v>0.59299999999999997</v>
      </c>
      <c r="J1342" s="59">
        <v>0.41399999999999998</v>
      </c>
    </row>
    <row r="1343" spans="1:10" s="174" customFormat="1" ht="18.75" customHeight="1">
      <c r="A1343" s="165">
        <v>6</v>
      </c>
      <c r="B1343" s="769" t="s">
        <v>1799</v>
      </c>
      <c r="C1343" s="77" t="s">
        <v>2018</v>
      </c>
      <c r="D1343" s="176">
        <v>0.53</v>
      </c>
      <c r="E1343" s="63" t="s">
        <v>89</v>
      </c>
      <c r="F1343" s="59" t="s">
        <v>2019</v>
      </c>
      <c r="G1343" s="59"/>
      <c r="H1343" s="59">
        <v>0.29899999999999999</v>
      </c>
      <c r="I1343" s="59">
        <v>0.23100000000000001</v>
      </c>
      <c r="J1343" s="59"/>
    </row>
    <row r="1344" spans="1:10" s="174" customFormat="1" ht="15.75">
      <c r="A1344" s="165">
        <v>7</v>
      </c>
      <c r="B1344" s="769" t="s">
        <v>1801</v>
      </c>
      <c r="C1344" s="77" t="s">
        <v>2015</v>
      </c>
      <c r="D1344" s="42">
        <v>0.23799999999999999</v>
      </c>
      <c r="E1344" s="63" t="s">
        <v>89</v>
      </c>
      <c r="F1344" s="59" t="s">
        <v>2020</v>
      </c>
      <c r="G1344" s="59"/>
      <c r="H1344" s="42">
        <v>0.23799999999999999</v>
      </c>
      <c r="I1344" s="59"/>
      <c r="J1344" s="59"/>
    </row>
    <row r="1345" spans="1:10" s="174" customFormat="1" ht="15.75">
      <c r="A1345" s="165">
        <v>8</v>
      </c>
      <c r="B1345" s="769" t="s">
        <v>1797</v>
      </c>
      <c r="C1345" s="77" t="s">
        <v>1804</v>
      </c>
      <c r="D1345" s="176">
        <v>1.59</v>
      </c>
      <c r="E1345" s="63" t="s">
        <v>89</v>
      </c>
      <c r="F1345" s="59" t="s">
        <v>2021</v>
      </c>
      <c r="G1345" s="59"/>
      <c r="H1345" s="59">
        <v>0.53</v>
      </c>
      <c r="I1345" s="59">
        <v>0.53</v>
      </c>
      <c r="J1345" s="59">
        <v>0.53</v>
      </c>
    </row>
    <row r="1346" spans="1:10" s="174" customFormat="1" ht="15.75">
      <c r="A1346" s="165">
        <v>9</v>
      </c>
      <c r="B1346" s="769" t="s">
        <v>1805</v>
      </c>
      <c r="C1346" s="77" t="s">
        <v>1806</v>
      </c>
      <c r="D1346" s="42">
        <v>1.486</v>
      </c>
      <c r="E1346" s="63" t="s">
        <v>89</v>
      </c>
      <c r="F1346" s="59" t="s">
        <v>2022</v>
      </c>
      <c r="G1346" s="59"/>
      <c r="H1346" s="59">
        <v>0.52800000000000002</v>
      </c>
      <c r="I1346" s="59">
        <v>0.47899999999999998</v>
      </c>
      <c r="J1346" s="59">
        <v>0.47899999999999998</v>
      </c>
    </row>
    <row r="1347" spans="1:10" s="174" customFormat="1" ht="15.75">
      <c r="A1347" s="165">
        <v>10</v>
      </c>
      <c r="B1347" s="769" t="s">
        <v>1798</v>
      </c>
      <c r="C1347" s="77" t="s">
        <v>1807</v>
      </c>
      <c r="D1347" s="42">
        <v>0.88700000000000001</v>
      </c>
      <c r="E1347" s="63" t="s">
        <v>89</v>
      </c>
      <c r="F1347" s="59" t="s">
        <v>2023</v>
      </c>
      <c r="G1347" s="59"/>
      <c r="H1347" s="59">
        <v>0.29499999999999998</v>
      </c>
      <c r="I1347" s="59">
        <v>0.29499999999999998</v>
      </c>
      <c r="J1347" s="59">
        <v>0.29499999999999998</v>
      </c>
    </row>
    <row r="1348" spans="1:10" s="174" customFormat="1" ht="15.75">
      <c r="A1348" s="165">
        <v>11</v>
      </c>
      <c r="B1348" s="769" t="s">
        <v>1799</v>
      </c>
      <c r="C1348" s="77" t="s">
        <v>1808</v>
      </c>
      <c r="D1348" s="72">
        <v>0.6</v>
      </c>
      <c r="E1348" s="63" t="s">
        <v>89</v>
      </c>
      <c r="F1348" s="59" t="s">
        <v>2024</v>
      </c>
      <c r="G1348" s="59"/>
      <c r="H1348" s="59">
        <v>0.3</v>
      </c>
      <c r="I1348" s="59">
        <v>0.3</v>
      </c>
      <c r="J1348" s="59"/>
    </row>
    <row r="1349" spans="1:10" s="174" customFormat="1" ht="15.75">
      <c r="A1349" s="165">
        <v>12</v>
      </c>
      <c r="B1349" s="769" t="s">
        <v>1809</v>
      </c>
      <c r="C1349" s="77" t="s">
        <v>1810</v>
      </c>
      <c r="D1349" s="42">
        <v>0.27700000000000002</v>
      </c>
      <c r="E1349" s="63" t="s">
        <v>89</v>
      </c>
      <c r="F1349" s="59" t="s">
        <v>2025</v>
      </c>
      <c r="G1349" s="59"/>
      <c r="H1349" s="59">
        <v>0.27700000000000002</v>
      </c>
      <c r="I1349" s="59"/>
      <c r="J1349" s="59"/>
    </row>
    <row r="1350" spans="1:10" s="174" customFormat="1" ht="15.75">
      <c r="A1350" s="165">
        <v>13</v>
      </c>
      <c r="B1350" s="769" t="s">
        <v>1800</v>
      </c>
      <c r="C1350" s="77" t="s">
        <v>1811</v>
      </c>
      <c r="D1350" s="42">
        <v>0.93100000000000005</v>
      </c>
      <c r="E1350" s="63" t="s">
        <v>89</v>
      </c>
      <c r="F1350" s="59" t="s">
        <v>2026</v>
      </c>
      <c r="G1350" s="59"/>
      <c r="H1350" s="59">
        <v>0.39900000000000002</v>
      </c>
      <c r="I1350" s="59">
        <v>0.26600000000000001</v>
      </c>
      <c r="J1350" s="59">
        <v>0.26600000000000001</v>
      </c>
    </row>
    <row r="1351" spans="1:10" s="174" customFormat="1" ht="15.75">
      <c r="A1351" s="165">
        <v>14</v>
      </c>
      <c r="B1351" s="769" t="s">
        <v>1812</v>
      </c>
      <c r="C1351" s="77" t="s">
        <v>1813</v>
      </c>
      <c r="D1351" s="176">
        <v>0.36</v>
      </c>
      <c r="E1351" s="63" t="s">
        <v>89</v>
      </c>
      <c r="F1351" s="59" t="s">
        <v>2027</v>
      </c>
      <c r="G1351" s="59"/>
      <c r="H1351" s="59">
        <v>0.36</v>
      </c>
      <c r="I1351" s="59"/>
      <c r="J1351" s="59"/>
    </row>
    <row r="1352" spans="1:10" s="174" customFormat="1" ht="15.75">
      <c r="A1352" s="165">
        <v>15</v>
      </c>
      <c r="B1352" s="769" t="s">
        <v>1801</v>
      </c>
      <c r="C1352" s="77" t="s">
        <v>1814</v>
      </c>
      <c r="D1352" s="42">
        <v>0.23599999999999999</v>
      </c>
      <c r="E1352" s="63" t="s">
        <v>89</v>
      </c>
      <c r="F1352" s="59" t="s">
        <v>2028</v>
      </c>
      <c r="G1352" s="59"/>
      <c r="H1352" s="59">
        <v>0.23599999999999999</v>
      </c>
      <c r="I1352" s="59"/>
      <c r="J1352" s="59"/>
    </row>
    <row r="1353" spans="1:10" s="174" customFormat="1" ht="15.75">
      <c r="A1353" s="165">
        <v>16</v>
      </c>
      <c r="B1353" s="769" t="s">
        <v>1802</v>
      </c>
      <c r="C1353" s="77" t="s">
        <v>1815</v>
      </c>
      <c r="D1353" s="176">
        <v>1.2</v>
      </c>
      <c r="E1353" s="63" t="s">
        <v>89</v>
      </c>
      <c r="F1353" s="59" t="s">
        <v>2029</v>
      </c>
      <c r="G1353" s="59"/>
      <c r="H1353" s="59">
        <v>0.6</v>
      </c>
      <c r="I1353" s="59">
        <v>0.6</v>
      </c>
      <c r="J1353" s="59"/>
    </row>
    <row r="1354" spans="1:10" s="174" customFormat="1" ht="15.75">
      <c r="A1354" s="165">
        <v>17</v>
      </c>
      <c r="B1354" s="769" t="s">
        <v>1803</v>
      </c>
      <c r="C1354" s="77" t="s">
        <v>1816</v>
      </c>
      <c r="D1354" s="42">
        <v>0.36799999999999999</v>
      </c>
      <c r="E1354" s="63" t="s">
        <v>89</v>
      </c>
      <c r="F1354" s="59" t="s">
        <v>2030</v>
      </c>
      <c r="G1354" s="59"/>
      <c r="H1354" s="59">
        <v>0.36799999999999999</v>
      </c>
      <c r="I1354" s="59"/>
      <c r="J1354" s="59"/>
    </row>
    <row r="1355" spans="1:10" s="174" customFormat="1" ht="15.75">
      <c r="A1355" s="165">
        <v>18</v>
      </c>
      <c r="B1355" s="769" t="s">
        <v>1817</v>
      </c>
      <c r="C1355" s="77" t="s">
        <v>1818</v>
      </c>
      <c r="D1355" s="176">
        <v>0.18</v>
      </c>
      <c r="E1355" s="63" t="s">
        <v>89</v>
      </c>
      <c r="F1355" s="59" t="s">
        <v>2031</v>
      </c>
      <c r="G1355" s="59"/>
      <c r="H1355" s="59">
        <v>0.6</v>
      </c>
      <c r="I1355" s="59">
        <v>0.6</v>
      </c>
      <c r="J1355" s="59">
        <v>0.6</v>
      </c>
    </row>
    <row r="1356" spans="1:10" s="174" customFormat="1" ht="31.5">
      <c r="A1356" s="165">
        <v>19</v>
      </c>
      <c r="B1356" s="179" t="s">
        <v>2032</v>
      </c>
      <c r="C1356" s="670" t="s">
        <v>2033</v>
      </c>
      <c r="D1356" s="674">
        <v>20</v>
      </c>
      <c r="E1356" s="43" t="s">
        <v>286</v>
      </c>
      <c r="F1356" s="59" t="s">
        <v>2034</v>
      </c>
      <c r="G1356" s="59"/>
      <c r="H1356" s="59">
        <v>7</v>
      </c>
      <c r="I1356" s="59">
        <v>7</v>
      </c>
      <c r="J1356" s="59">
        <v>6</v>
      </c>
    </row>
    <row r="1357" spans="1:10" s="174" customFormat="1" ht="31.5">
      <c r="A1357" s="165">
        <v>20</v>
      </c>
      <c r="B1357" s="179" t="s">
        <v>2035</v>
      </c>
      <c r="C1357" s="670" t="s">
        <v>2036</v>
      </c>
      <c r="D1357" s="674">
        <v>20</v>
      </c>
      <c r="E1357" s="43" t="s">
        <v>286</v>
      </c>
      <c r="F1357" s="59" t="s">
        <v>2037</v>
      </c>
      <c r="G1357" s="59"/>
      <c r="H1357" s="59">
        <v>7</v>
      </c>
      <c r="I1357" s="59">
        <v>7</v>
      </c>
      <c r="J1357" s="59">
        <v>6</v>
      </c>
    </row>
    <row r="1358" spans="1:10" s="174" customFormat="1" ht="15.75">
      <c r="A1358" s="1043" t="s">
        <v>1819</v>
      </c>
      <c r="B1358" s="1044"/>
      <c r="C1358" s="1044"/>
      <c r="D1358" s="1044"/>
      <c r="E1358" s="1044"/>
      <c r="F1358" s="1044"/>
      <c r="G1358" s="1044"/>
      <c r="H1358" s="1044"/>
      <c r="I1358" s="1044"/>
      <c r="J1358" s="1045"/>
    </row>
    <row r="1359" spans="1:10" s="174" customFormat="1" ht="15.75">
      <c r="A1359" s="165">
        <v>21</v>
      </c>
      <c r="B1359" s="769" t="s">
        <v>1820</v>
      </c>
      <c r="C1359" s="77" t="s">
        <v>1821</v>
      </c>
      <c r="D1359" s="72">
        <v>0.5</v>
      </c>
      <c r="E1359" s="63" t="s">
        <v>89</v>
      </c>
      <c r="F1359" s="59" t="s">
        <v>2038</v>
      </c>
      <c r="G1359" s="59"/>
      <c r="H1359" s="59">
        <v>0.5</v>
      </c>
      <c r="I1359" s="59"/>
      <c r="J1359" s="59"/>
    </row>
    <row r="1360" spans="1:10" s="174" customFormat="1" ht="15.75">
      <c r="A1360" s="165">
        <v>22</v>
      </c>
      <c r="B1360" s="769" t="s">
        <v>1822</v>
      </c>
      <c r="C1360" s="77" t="s">
        <v>1823</v>
      </c>
      <c r="D1360" s="671">
        <v>3</v>
      </c>
      <c r="E1360" s="63" t="s">
        <v>89</v>
      </c>
      <c r="F1360" s="59" t="s">
        <v>2039</v>
      </c>
      <c r="G1360" s="59"/>
      <c r="H1360" s="59">
        <v>1.5</v>
      </c>
      <c r="I1360" s="59">
        <v>1.5</v>
      </c>
      <c r="J1360" s="59"/>
    </row>
    <row r="1361" spans="1:10" s="174" customFormat="1" ht="15.75">
      <c r="A1361" s="165">
        <v>23</v>
      </c>
      <c r="B1361" s="769" t="s">
        <v>1824</v>
      </c>
      <c r="C1361" s="77" t="s">
        <v>1823</v>
      </c>
      <c r="D1361" s="671">
        <v>2</v>
      </c>
      <c r="E1361" s="63" t="s">
        <v>89</v>
      </c>
      <c r="F1361" s="59" t="s">
        <v>2040</v>
      </c>
      <c r="G1361" s="59"/>
      <c r="H1361" s="59">
        <v>1.5</v>
      </c>
      <c r="I1361" s="59">
        <v>1.5</v>
      </c>
      <c r="J1361" s="59"/>
    </row>
    <row r="1362" spans="1:10" s="174" customFormat="1" ht="15.75">
      <c r="A1362" s="1043" t="s">
        <v>1825</v>
      </c>
      <c r="B1362" s="1044"/>
      <c r="C1362" s="1044"/>
      <c r="D1362" s="1044"/>
      <c r="E1362" s="1044"/>
      <c r="F1362" s="1044"/>
      <c r="G1362" s="1044"/>
      <c r="H1362" s="1044"/>
      <c r="I1362" s="1044"/>
      <c r="J1362" s="1045"/>
    </row>
    <row r="1363" spans="1:10" s="174" customFormat="1" ht="15.75">
      <c r="A1363" s="165">
        <v>24</v>
      </c>
      <c r="B1363" s="769" t="s">
        <v>1826</v>
      </c>
      <c r="C1363" s="77" t="s">
        <v>1827</v>
      </c>
      <c r="D1363" s="176">
        <v>1.9</v>
      </c>
      <c r="E1363" s="63" t="s">
        <v>89</v>
      </c>
      <c r="F1363" s="59" t="s">
        <v>2041</v>
      </c>
      <c r="G1363" s="59"/>
      <c r="H1363" s="59">
        <v>1.9</v>
      </c>
      <c r="I1363" s="59"/>
      <c r="J1363" s="59"/>
    </row>
    <row r="1364" spans="1:10" s="174" customFormat="1" ht="15.75">
      <c r="A1364" s="165">
        <v>25</v>
      </c>
      <c r="B1364" s="769" t="s">
        <v>1828</v>
      </c>
      <c r="C1364" s="77" t="s">
        <v>1829</v>
      </c>
      <c r="D1364" s="42">
        <v>0.48399999999999999</v>
      </c>
      <c r="E1364" s="63" t="s">
        <v>89</v>
      </c>
      <c r="F1364" s="59" t="s">
        <v>2042</v>
      </c>
      <c r="G1364" s="59"/>
      <c r="H1364" s="59">
        <v>0.48399999999999999</v>
      </c>
      <c r="I1364" s="59"/>
      <c r="J1364" s="59"/>
    </row>
    <row r="1365" spans="1:10" s="174" customFormat="1" ht="15.75">
      <c r="A1365" s="165">
        <v>26</v>
      </c>
      <c r="B1365" s="769" t="s">
        <v>1830</v>
      </c>
      <c r="C1365" s="77" t="s">
        <v>1831</v>
      </c>
      <c r="D1365" s="176">
        <v>1.6</v>
      </c>
      <c r="E1365" s="63" t="s">
        <v>89</v>
      </c>
      <c r="F1365" s="59" t="s">
        <v>2043</v>
      </c>
      <c r="G1365" s="59"/>
      <c r="H1365" s="59">
        <v>0.8</v>
      </c>
      <c r="I1365" s="59">
        <v>0.8</v>
      </c>
      <c r="J1365" s="59"/>
    </row>
    <row r="1366" spans="1:10" s="174" customFormat="1" ht="15.75">
      <c r="A1366" s="165">
        <v>27</v>
      </c>
      <c r="B1366" s="769" t="s">
        <v>1832</v>
      </c>
      <c r="C1366" s="77" t="s">
        <v>1831</v>
      </c>
      <c r="D1366" s="176">
        <v>0.5</v>
      </c>
      <c r="E1366" s="63" t="s">
        <v>89</v>
      </c>
      <c r="F1366" s="59" t="s">
        <v>2044</v>
      </c>
      <c r="G1366" s="59"/>
      <c r="H1366" s="59">
        <v>0.5</v>
      </c>
      <c r="I1366" s="59"/>
      <c r="J1366" s="59"/>
    </row>
    <row r="1367" spans="1:10" s="174" customFormat="1" ht="15.75">
      <c r="A1367" s="165">
        <v>28</v>
      </c>
      <c r="B1367" s="769" t="s">
        <v>2045</v>
      </c>
      <c r="C1367" s="77" t="s">
        <v>1831</v>
      </c>
      <c r="D1367" s="176">
        <v>0.3</v>
      </c>
      <c r="E1367" s="63"/>
      <c r="F1367" s="59" t="s">
        <v>2046</v>
      </c>
      <c r="G1367" s="59"/>
      <c r="H1367" s="59">
        <v>0.3</v>
      </c>
      <c r="I1367" s="59"/>
      <c r="J1367" s="59"/>
    </row>
    <row r="1368" spans="1:10" s="174" customFormat="1" ht="15.75">
      <c r="A1368" s="1046" t="s">
        <v>1833</v>
      </c>
      <c r="B1368" s="1047"/>
      <c r="C1368" s="1047"/>
      <c r="D1368" s="1047"/>
      <c r="E1368" s="1047"/>
      <c r="F1368" s="1047"/>
      <c r="G1368" s="1047"/>
      <c r="H1368" s="1047"/>
      <c r="I1368" s="1047"/>
      <c r="J1368" s="1048"/>
    </row>
    <row r="1369" spans="1:10" s="174" customFormat="1" ht="15.75">
      <c r="A1369" s="165">
        <v>29</v>
      </c>
      <c r="B1369" s="769" t="s">
        <v>1834</v>
      </c>
      <c r="C1369" s="77" t="s">
        <v>1835</v>
      </c>
      <c r="D1369" s="42">
        <v>0.56499999999999995</v>
      </c>
      <c r="E1369" s="63" t="s">
        <v>89</v>
      </c>
      <c r="F1369" s="59" t="s">
        <v>2047</v>
      </c>
      <c r="G1369" s="59"/>
      <c r="H1369" s="59">
        <v>0.56499999999999995</v>
      </c>
      <c r="I1369" s="59"/>
      <c r="J1369" s="59"/>
    </row>
    <row r="1370" spans="1:10" s="174" customFormat="1" ht="15.75">
      <c r="A1370" s="165">
        <v>30</v>
      </c>
      <c r="B1370" s="769" t="s">
        <v>1836</v>
      </c>
      <c r="C1370" s="77" t="s">
        <v>1835</v>
      </c>
      <c r="D1370" s="42">
        <v>4.2</v>
      </c>
      <c r="E1370" s="63" t="s">
        <v>89</v>
      </c>
      <c r="F1370" s="59" t="s">
        <v>2048</v>
      </c>
      <c r="G1370" s="59"/>
      <c r="H1370" s="59">
        <v>2.1</v>
      </c>
      <c r="I1370" s="59">
        <v>2.1</v>
      </c>
      <c r="J1370" s="59"/>
    </row>
    <row r="1371" spans="1:10" s="174" customFormat="1" ht="15.75">
      <c r="A1371" s="165">
        <v>31</v>
      </c>
      <c r="B1371" s="769" t="s">
        <v>1837</v>
      </c>
      <c r="C1371" s="77" t="s">
        <v>1835</v>
      </c>
      <c r="D1371" s="42">
        <v>1.98</v>
      </c>
      <c r="E1371" s="63" t="s">
        <v>89</v>
      </c>
      <c r="F1371" s="59" t="s">
        <v>2049</v>
      </c>
      <c r="G1371" s="59"/>
      <c r="H1371" s="59">
        <v>0.99</v>
      </c>
      <c r="I1371" s="59">
        <v>0.99</v>
      </c>
      <c r="J1371" s="59"/>
    </row>
    <row r="1372" spans="1:10" s="174" customFormat="1" ht="15.75">
      <c r="A1372" s="165">
        <v>32</v>
      </c>
      <c r="B1372" s="769" t="s">
        <v>1838</v>
      </c>
      <c r="C1372" s="77" t="s">
        <v>1835</v>
      </c>
      <c r="D1372" s="176">
        <v>0.53</v>
      </c>
      <c r="E1372" s="63" t="s">
        <v>89</v>
      </c>
      <c r="F1372" s="59" t="s">
        <v>2050</v>
      </c>
      <c r="G1372" s="59"/>
      <c r="H1372" s="59">
        <v>0.53</v>
      </c>
      <c r="I1372" s="59"/>
      <c r="J1372" s="59"/>
    </row>
    <row r="1373" spans="1:10" s="174" customFormat="1" ht="15.75">
      <c r="A1373" s="1043" t="s">
        <v>1839</v>
      </c>
      <c r="B1373" s="1044"/>
      <c r="C1373" s="1044"/>
      <c r="D1373" s="1044"/>
      <c r="E1373" s="1044"/>
      <c r="F1373" s="1044"/>
      <c r="G1373" s="1044"/>
      <c r="H1373" s="1044"/>
      <c r="I1373" s="1044"/>
      <c r="J1373" s="1045"/>
    </row>
    <row r="1374" spans="1:10" s="174" customFormat="1" ht="15.75">
      <c r="A1374" s="165">
        <v>33</v>
      </c>
      <c r="B1374" s="769" t="s">
        <v>1840</v>
      </c>
      <c r="C1374" s="674" t="s">
        <v>1841</v>
      </c>
      <c r="D1374" s="72">
        <v>1.9</v>
      </c>
      <c r="E1374" s="63" t="s">
        <v>89</v>
      </c>
      <c r="F1374" s="59" t="s">
        <v>2051</v>
      </c>
      <c r="G1374" s="59"/>
      <c r="H1374" s="59">
        <v>0.7</v>
      </c>
      <c r="I1374" s="59">
        <v>0.6</v>
      </c>
      <c r="J1374" s="59">
        <v>0.6</v>
      </c>
    </row>
    <row r="1375" spans="1:10" s="174" customFormat="1" ht="15.75">
      <c r="A1375" s="165">
        <v>34</v>
      </c>
      <c r="B1375" s="769" t="s">
        <v>1842</v>
      </c>
      <c r="C1375" s="674" t="s">
        <v>1841</v>
      </c>
      <c r="D1375" s="671">
        <v>2</v>
      </c>
      <c r="E1375" s="63" t="s">
        <v>89</v>
      </c>
      <c r="F1375" s="59" t="s">
        <v>2052</v>
      </c>
      <c r="G1375" s="59"/>
      <c r="H1375" s="59">
        <v>1</v>
      </c>
      <c r="I1375" s="59">
        <v>1</v>
      </c>
      <c r="J1375" s="59"/>
    </row>
    <row r="1376" spans="1:10" s="174" customFormat="1" ht="15.75">
      <c r="A1376" s="165">
        <v>35</v>
      </c>
      <c r="B1376" s="769" t="s">
        <v>1843</v>
      </c>
      <c r="C1376" s="77" t="s">
        <v>1844</v>
      </c>
      <c r="D1376" s="671">
        <v>1</v>
      </c>
      <c r="E1376" s="63" t="s">
        <v>89</v>
      </c>
      <c r="F1376" s="59" t="s">
        <v>2053</v>
      </c>
      <c r="G1376" s="59"/>
      <c r="H1376" s="59">
        <v>2</v>
      </c>
      <c r="I1376" s="59"/>
      <c r="J1376" s="59"/>
    </row>
    <row r="1377" spans="1:10" s="174" customFormat="1" ht="15.75">
      <c r="A1377" s="165">
        <v>36</v>
      </c>
      <c r="B1377" s="769" t="s">
        <v>2054</v>
      </c>
      <c r="C1377" s="77" t="s">
        <v>1844</v>
      </c>
      <c r="D1377" s="671">
        <v>2</v>
      </c>
      <c r="E1377" s="63" t="s">
        <v>89</v>
      </c>
      <c r="F1377" s="59" t="s">
        <v>2055</v>
      </c>
      <c r="G1377" s="59"/>
      <c r="H1377" s="59">
        <v>2</v>
      </c>
      <c r="I1377" s="59"/>
      <c r="J1377" s="59"/>
    </row>
    <row r="1378" spans="1:10" s="174" customFormat="1" ht="15.75">
      <c r="A1378" s="1043" t="s">
        <v>1845</v>
      </c>
      <c r="B1378" s="1044"/>
      <c r="C1378" s="1044"/>
      <c r="D1378" s="1044"/>
      <c r="E1378" s="1044"/>
      <c r="F1378" s="1044"/>
      <c r="G1378" s="1044"/>
      <c r="H1378" s="1044"/>
      <c r="I1378" s="1044"/>
      <c r="J1378" s="1045"/>
    </row>
    <row r="1379" spans="1:10" s="174" customFormat="1" ht="15.75">
      <c r="A1379" s="165">
        <v>37</v>
      </c>
      <c r="B1379" s="179" t="s">
        <v>1846</v>
      </c>
      <c r="C1379" s="674" t="s">
        <v>1847</v>
      </c>
      <c r="D1379" s="671">
        <v>500</v>
      </c>
      <c r="E1379" s="63" t="s">
        <v>27</v>
      </c>
      <c r="F1379" s="59"/>
      <c r="G1379" s="59"/>
      <c r="H1379" s="59">
        <v>250</v>
      </c>
      <c r="I1379" s="59">
        <v>250</v>
      </c>
      <c r="J1379" s="59"/>
    </row>
    <row r="1380" spans="1:10" s="174" customFormat="1" ht="15.75">
      <c r="A1380" s="165">
        <v>38</v>
      </c>
      <c r="B1380" s="179" t="s">
        <v>1846</v>
      </c>
      <c r="C1380" s="674" t="s">
        <v>1848</v>
      </c>
      <c r="D1380" s="671">
        <v>2000</v>
      </c>
      <c r="E1380" s="63" t="s">
        <v>27</v>
      </c>
      <c r="F1380" s="59"/>
      <c r="G1380" s="59"/>
      <c r="H1380" s="59">
        <v>1000</v>
      </c>
      <c r="I1380" s="59">
        <v>500</v>
      </c>
      <c r="J1380" s="59">
        <v>500</v>
      </c>
    </row>
    <row r="1381" spans="1:10" s="174" customFormat="1" ht="15.75">
      <c r="A1381" s="165">
        <v>39</v>
      </c>
      <c r="B1381" s="179" t="s">
        <v>1846</v>
      </c>
      <c r="C1381" s="674" t="s">
        <v>2056</v>
      </c>
      <c r="D1381" s="671">
        <v>400</v>
      </c>
      <c r="E1381" s="63" t="s">
        <v>27</v>
      </c>
      <c r="F1381" s="59"/>
      <c r="G1381" s="59"/>
      <c r="H1381" s="59">
        <v>200</v>
      </c>
      <c r="I1381" s="59">
        <v>200</v>
      </c>
      <c r="J1381" s="59"/>
    </row>
    <row r="1382" spans="1:10" s="174" customFormat="1" ht="15.75">
      <c r="A1382" s="165">
        <v>40</v>
      </c>
      <c r="B1382" s="179" t="s">
        <v>1846</v>
      </c>
      <c r="C1382" s="674" t="s">
        <v>2057</v>
      </c>
      <c r="D1382" s="671">
        <v>2000</v>
      </c>
      <c r="E1382" s="63" t="s">
        <v>27</v>
      </c>
      <c r="F1382" s="59"/>
      <c r="G1382" s="59"/>
      <c r="H1382" s="59">
        <v>1000</v>
      </c>
      <c r="I1382" s="59">
        <v>500</v>
      </c>
      <c r="J1382" s="59">
        <v>500</v>
      </c>
    </row>
    <row r="1383" spans="1:10" s="174" customFormat="1" ht="15.75">
      <c r="A1383" s="165">
        <v>41</v>
      </c>
      <c r="B1383" s="179" t="s">
        <v>1846</v>
      </c>
      <c r="C1383" s="674" t="s">
        <v>1849</v>
      </c>
      <c r="D1383" s="671">
        <v>20</v>
      </c>
      <c r="E1383" s="63" t="s">
        <v>27</v>
      </c>
      <c r="F1383" s="59"/>
      <c r="G1383" s="59"/>
      <c r="H1383" s="59">
        <v>20</v>
      </c>
      <c r="I1383" s="59"/>
      <c r="J1383" s="59"/>
    </row>
    <row r="1384" spans="1:10" s="174" customFormat="1" ht="15.75">
      <c r="A1384" s="1049" t="s">
        <v>1850</v>
      </c>
      <c r="B1384" s="1050"/>
      <c r="C1384" s="1050"/>
      <c r="D1384" s="1050"/>
      <c r="E1384" s="1050"/>
      <c r="F1384" s="1050"/>
      <c r="G1384" s="1050"/>
      <c r="H1384" s="1050"/>
      <c r="I1384" s="1050"/>
      <c r="J1384" s="1051"/>
    </row>
    <row r="1385" spans="1:10" s="174" customFormat="1" ht="15.75">
      <c r="A1385" s="165">
        <v>42</v>
      </c>
      <c r="B1385" s="769" t="s">
        <v>1851</v>
      </c>
      <c r="C1385" s="674" t="s">
        <v>1852</v>
      </c>
      <c r="D1385" s="671">
        <v>6</v>
      </c>
      <c r="E1385" s="63" t="s">
        <v>286</v>
      </c>
      <c r="F1385" s="59"/>
      <c r="G1385" s="59"/>
      <c r="H1385" s="59">
        <v>3</v>
      </c>
      <c r="I1385" s="59">
        <v>3</v>
      </c>
      <c r="J1385" s="59"/>
    </row>
    <row r="1386" spans="1:10" s="174" customFormat="1" ht="15.75">
      <c r="A1386" s="165">
        <v>43</v>
      </c>
      <c r="B1386" s="769" t="s">
        <v>1853</v>
      </c>
      <c r="C1386" s="674" t="s">
        <v>1854</v>
      </c>
      <c r="D1386" s="671">
        <v>8</v>
      </c>
      <c r="E1386" s="63" t="s">
        <v>286</v>
      </c>
      <c r="F1386" s="59"/>
      <c r="G1386" s="59"/>
      <c r="H1386" s="59">
        <v>4</v>
      </c>
      <c r="I1386" s="59">
        <v>4</v>
      </c>
      <c r="J1386" s="59"/>
    </row>
    <row r="1387" spans="1:10" s="174" customFormat="1" ht="15.75">
      <c r="A1387" s="165">
        <v>44</v>
      </c>
      <c r="B1387" s="769" t="s">
        <v>1855</v>
      </c>
      <c r="C1387" s="674" t="s">
        <v>1856</v>
      </c>
      <c r="D1387" s="671">
        <v>1</v>
      </c>
      <c r="E1387" s="63" t="s">
        <v>286</v>
      </c>
      <c r="F1387" s="59"/>
      <c r="G1387" s="59"/>
      <c r="H1387" s="59">
        <v>1</v>
      </c>
      <c r="I1387" s="59"/>
      <c r="J1387" s="59"/>
    </row>
    <row r="1388" spans="1:10" s="174" customFormat="1" ht="15.75">
      <c r="A1388" s="1043" t="s">
        <v>2081</v>
      </c>
      <c r="B1388" s="1044"/>
      <c r="C1388" s="1044"/>
      <c r="D1388" s="1044"/>
      <c r="E1388" s="1044"/>
      <c r="F1388" s="1044"/>
      <c r="G1388" s="1044"/>
      <c r="H1388" s="1044"/>
      <c r="I1388" s="1044"/>
      <c r="J1388" s="1045"/>
    </row>
    <row r="1389" spans="1:10" s="174" customFormat="1" ht="15.75">
      <c r="A1389" s="165">
        <v>45</v>
      </c>
      <c r="B1389" s="769" t="s">
        <v>1857</v>
      </c>
      <c r="C1389" s="674" t="s">
        <v>1858</v>
      </c>
      <c r="D1389" s="671">
        <v>6100</v>
      </c>
      <c r="E1389" s="63" t="s">
        <v>27</v>
      </c>
      <c r="F1389" s="464"/>
      <c r="G1389" s="464"/>
      <c r="H1389" s="464">
        <v>3100</v>
      </c>
      <c r="I1389" s="464">
        <v>3000</v>
      </c>
      <c r="J1389" s="464"/>
    </row>
    <row r="1390" spans="1:10" s="174" customFormat="1" ht="15.75">
      <c r="A1390" s="165">
        <v>46</v>
      </c>
      <c r="B1390" s="769" t="s">
        <v>1857</v>
      </c>
      <c r="C1390" s="674" t="s">
        <v>1859</v>
      </c>
      <c r="D1390" s="671">
        <v>8050</v>
      </c>
      <c r="E1390" s="63" t="s">
        <v>27</v>
      </c>
      <c r="F1390" s="464"/>
      <c r="G1390" s="464"/>
      <c r="H1390" s="464">
        <v>3050</v>
      </c>
      <c r="I1390" s="464">
        <v>3000</v>
      </c>
      <c r="J1390" s="464">
        <v>2000</v>
      </c>
    </row>
    <row r="1391" spans="1:10" s="174" customFormat="1" ht="15.75">
      <c r="A1391" s="165">
        <v>47</v>
      </c>
      <c r="B1391" s="793" t="s">
        <v>1860</v>
      </c>
      <c r="C1391" s="77"/>
      <c r="D1391" s="671">
        <v>1350</v>
      </c>
      <c r="E1391" s="63" t="s">
        <v>385</v>
      </c>
      <c r="F1391" s="464"/>
      <c r="G1391" s="464"/>
      <c r="H1391" s="464">
        <v>550</v>
      </c>
      <c r="I1391" s="464">
        <v>400</v>
      </c>
      <c r="J1391" s="464">
        <v>400</v>
      </c>
    </row>
    <row r="1392" spans="1:10" s="174" customFormat="1" ht="15.75">
      <c r="A1392" s="165">
        <v>48</v>
      </c>
      <c r="B1392" s="793" t="s">
        <v>1861</v>
      </c>
      <c r="C1392" s="77" t="s">
        <v>1862</v>
      </c>
      <c r="D1392" s="671">
        <v>26000</v>
      </c>
      <c r="E1392" s="63" t="s">
        <v>286</v>
      </c>
      <c r="F1392" s="464"/>
      <c r="G1392" s="464"/>
      <c r="H1392" s="464">
        <v>10000</v>
      </c>
      <c r="I1392" s="464">
        <v>8000</v>
      </c>
      <c r="J1392" s="464">
        <v>8000</v>
      </c>
    </row>
    <row r="1393" spans="1:10" s="174" customFormat="1" ht="15.75">
      <c r="A1393" s="165">
        <v>49</v>
      </c>
      <c r="B1393" s="179" t="s">
        <v>1861</v>
      </c>
      <c r="C1393" s="166" t="s">
        <v>1863</v>
      </c>
      <c r="D1393" s="671">
        <v>26000</v>
      </c>
      <c r="E1393" s="672" t="s">
        <v>286</v>
      </c>
      <c r="F1393" s="464"/>
      <c r="G1393" s="464"/>
      <c r="H1393" s="464">
        <v>10000</v>
      </c>
      <c r="I1393" s="464">
        <v>8000</v>
      </c>
      <c r="J1393" s="464">
        <v>8000</v>
      </c>
    </row>
    <row r="1394" spans="1:10" s="174" customFormat="1" ht="15.75">
      <c r="A1394" s="165">
        <v>50</v>
      </c>
      <c r="B1394" s="794" t="s">
        <v>2082</v>
      </c>
      <c r="C1394" s="165"/>
      <c r="D1394" s="671">
        <v>87500</v>
      </c>
      <c r="E1394" s="464" t="s">
        <v>432</v>
      </c>
      <c r="F1394" s="469"/>
      <c r="G1394" s="469"/>
      <c r="H1394" s="469">
        <v>30000</v>
      </c>
      <c r="I1394" s="469">
        <v>30000</v>
      </c>
      <c r="J1394" s="469">
        <v>27500</v>
      </c>
    </row>
    <row r="1395" spans="1:10" s="174" customFormat="1" ht="26.25">
      <c r="A1395" s="1029" t="s">
        <v>2862</v>
      </c>
      <c r="B1395" s="1029"/>
      <c r="C1395" s="1029"/>
      <c r="D1395" s="1029"/>
      <c r="E1395" s="1029"/>
      <c r="F1395" s="1029"/>
      <c r="G1395" s="1029"/>
      <c r="H1395" s="1029"/>
      <c r="I1395" s="1029"/>
      <c r="J1395" s="1029"/>
    </row>
    <row r="1396" spans="1:10" s="174" customFormat="1" ht="15.75">
      <c r="A1396" s="1086" t="s">
        <v>1245</v>
      </c>
      <c r="B1396" s="1053"/>
      <c r="C1396" s="1053"/>
      <c r="D1396" s="1053"/>
      <c r="E1396" s="1053"/>
      <c r="F1396" s="1053"/>
      <c r="G1396" s="1053"/>
      <c r="H1396" s="1053"/>
      <c r="I1396" s="1053"/>
      <c r="J1396" s="1087"/>
    </row>
    <row r="1397" spans="1:10" s="174" customFormat="1" ht="15.75">
      <c r="A1397" s="184">
        <v>1</v>
      </c>
      <c r="B1397" s="795" t="s">
        <v>1246</v>
      </c>
      <c r="C1397" s="226" t="s">
        <v>1951</v>
      </c>
      <c r="D1397" s="674">
        <v>342</v>
      </c>
      <c r="E1397" s="23" t="s">
        <v>286</v>
      </c>
      <c r="F1397" s="23"/>
      <c r="G1397" s="505">
        <v>171</v>
      </c>
      <c r="H1397" s="505">
        <v>57</v>
      </c>
      <c r="I1397" s="505">
        <v>57</v>
      </c>
      <c r="J1397" s="505">
        <v>57</v>
      </c>
    </row>
    <row r="1398" spans="1:10" s="174" customFormat="1" ht="15.75">
      <c r="A1398" s="184">
        <v>2</v>
      </c>
      <c r="B1398" s="179" t="s">
        <v>1246</v>
      </c>
      <c r="C1398" s="674" t="s">
        <v>1950</v>
      </c>
      <c r="D1398" s="674">
        <v>750</v>
      </c>
      <c r="E1398" s="23" t="s">
        <v>286</v>
      </c>
      <c r="F1398" s="23"/>
      <c r="G1398" s="505">
        <v>375</v>
      </c>
      <c r="H1398" s="505">
        <v>125</v>
      </c>
      <c r="I1398" s="505">
        <v>125</v>
      </c>
      <c r="J1398" s="505">
        <v>125</v>
      </c>
    </row>
    <row r="1399" spans="1:10" s="174" customFormat="1" ht="15.75">
      <c r="A1399" s="184">
        <v>3</v>
      </c>
      <c r="B1399" s="179" t="s">
        <v>1246</v>
      </c>
      <c r="C1399" s="674" t="s">
        <v>1949</v>
      </c>
      <c r="D1399" s="674">
        <v>277</v>
      </c>
      <c r="E1399" s="23" t="s">
        <v>286</v>
      </c>
      <c r="F1399" s="23"/>
      <c r="G1399" s="505">
        <v>138.5</v>
      </c>
      <c r="H1399" s="505">
        <v>46.166666666666664</v>
      </c>
      <c r="I1399" s="505">
        <v>46.166666666666664</v>
      </c>
      <c r="J1399" s="505">
        <v>46.166666666666664</v>
      </c>
    </row>
    <row r="1400" spans="1:10" s="174" customFormat="1" ht="15.75">
      <c r="A1400" s="184">
        <v>4</v>
      </c>
      <c r="B1400" s="179" t="s">
        <v>1246</v>
      </c>
      <c r="C1400" s="674" t="s">
        <v>1948</v>
      </c>
      <c r="D1400" s="674">
        <v>537</v>
      </c>
      <c r="E1400" s="23" t="s">
        <v>286</v>
      </c>
      <c r="F1400" s="23"/>
      <c r="G1400" s="505">
        <v>268.5</v>
      </c>
      <c r="H1400" s="505">
        <v>89.5</v>
      </c>
      <c r="I1400" s="505">
        <v>89.5</v>
      </c>
      <c r="J1400" s="505">
        <v>89.5</v>
      </c>
    </row>
    <row r="1401" spans="1:10" s="174" customFormat="1" ht="15.75">
      <c r="A1401" s="184">
        <v>5</v>
      </c>
      <c r="B1401" s="179" t="s">
        <v>1246</v>
      </c>
      <c r="C1401" s="674" t="s">
        <v>1947</v>
      </c>
      <c r="D1401" s="674">
        <v>175</v>
      </c>
      <c r="E1401" s="23" t="s">
        <v>286</v>
      </c>
      <c r="F1401" s="23"/>
      <c r="G1401" s="505">
        <v>87.5</v>
      </c>
      <c r="H1401" s="505">
        <v>29.166666666666668</v>
      </c>
      <c r="I1401" s="505">
        <v>29.166666666666668</v>
      </c>
      <c r="J1401" s="505">
        <v>29.166666666666668</v>
      </c>
    </row>
    <row r="1402" spans="1:10" s="174" customFormat="1" ht="15.75">
      <c r="A1402" s="184">
        <v>6</v>
      </c>
      <c r="B1402" s="179" t="s">
        <v>1246</v>
      </c>
      <c r="C1402" s="674" t="s">
        <v>1946</v>
      </c>
      <c r="D1402" s="674">
        <v>125</v>
      </c>
      <c r="E1402" s="23" t="s">
        <v>286</v>
      </c>
      <c r="F1402" s="23"/>
      <c r="G1402" s="505">
        <v>62.5</v>
      </c>
      <c r="H1402" s="505">
        <v>20.833333333333332</v>
      </c>
      <c r="I1402" s="505">
        <v>20.833333333333332</v>
      </c>
      <c r="J1402" s="505">
        <v>20.833333333333332</v>
      </c>
    </row>
    <row r="1403" spans="1:10" s="174" customFormat="1" ht="15.75">
      <c r="A1403" s="184">
        <v>7</v>
      </c>
      <c r="B1403" s="179" t="s">
        <v>1246</v>
      </c>
      <c r="C1403" s="674" t="s">
        <v>1945</v>
      </c>
      <c r="D1403" s="674">
        <v>240</v>
      </c>
      <c r="E1403" s="23" t="s">
        <v>286</v>
      </c>
      <c r="F1403" s="23"/>
      <c r="G1403" s="505">
        <v>120</v>
      </c>
      <c r="H1403" s="505">
        <v>40</v>
      </c>
      <c r="I1403" s="505">
        <v>40</v>
      </c>
      <c r="J1403" s="505">
        <v>40</v>
      </c>
    </row>
    <row r="1404" spans="1:10" s="174" customFormat="1" ht="15.75">
      <c r="A1404" s="184">
        <v>8</v>
      </c>
      <c r="B1404" s="179" t="s">
        <v>1246</v>
      </c>
      <c r="C1404" s="674" t="s">
        <v>1944</v>
      </c>
      <c r="D1404" s="674">
        <v>10</v>
      </c>
      <c r="E1404" s="23" t="s">
        <v>286</v>
      </c>
      <c r="F1404" s="23"/>
      <c r="G1404" s="23">
        <f>D1404*40/100</f>
        <v>4</v>
      </c>
      <c r="H1404" s="23">
        <f>D1404*20/100</f>
        <v>2</v>
      </c>
      <c r="I1404" s="23">
        <f>D1404*20/100</f>
        <v>2</v>
      </c>
      <c r="J1404" s="220">
        <f>D1404*20/100</f>
        <v>2</v>
      </c>
    </row>
    <row r="1405" spans="1:10" s="174" customFormat="1" ht="15.75">
      <c r="A1405" s="184">
        <v>9</v>
      </c>
      <c r="B1405" s="179" t="s">
        <v>1246</v>
      </c>
      <c r="C1405" s="674" t="s">
        <v>1943</v>
      </c>
      <c r="D1405" s="674">
        <v>1203</v>
      </c>
      <c r="E1405" s="23" t="s">
        <v>286</v>
      </c>
      <c r="F1405" s="23"/>
      <c r="G1405" s="505">
        <v>601.5</v>
      </c>
      <c r="H1405" s="505">
        <v>200.5</v>
      </c>
      <c r="I1405" s="505">
        <v>200.5</v>
      </c>
      <c r="J1405" s="505">
        <v>200.5</v>
      </c>
    </row>
    <row r="1406" spans="1:10" s="174" customFormat="1" ht="18.75" customHeight="1">
      <c r="A1406" s="184">
        <v>10</v>
      </c>
      <c r="B1406" s="179" t="s">
        <v>1246</v>
      </c>
      <c r="C1406" s="674" t="s">
        <v>1942</v>
      </c>
      <c r="D1406" s="674">
        <v>1780</v>
      </c>
      <c r="E1406" s="23" t="s">
        <v>286</v>
      </c>
      <c r="F1406" s="23"/>
      <c r="G1406" s="505">
        <v>890</v>
      </c>
      <c r="H1406" s="505">
        <v>296.66666666666669</v>
      </c>
      <c r="I1406" s="505">
        <v>296.66666666666669</v>
      </c>
      <c r="J1406" s="505">
        <v>296.66666666666669</v>
      </c>
    </row>
    <row r="1407" spans="1:10" s="174" customFormat="1" ht="15.75">
      <c r="A1407" s="184">
        <v>11</v>
      </c>
      <c r="B1407" s="179" t="s">
        <v>1246</v>
      </c>
      <c r="C1407" s="674" t="s">
        <v>1941</v>
      </c>
      <c r="D1407" s="674">
        <v>912</v>
      </c>
      <c r="E1407" s="23" t="s">
        <v>286</v>
      </c>
      <c r="F1407" s="23"/>
      <c r="G1407" s="505">
        <v>456</v>
      </c>
      <c r="H1407" s="505">
        <v>152</v>
      </c>
      <c r="I1407" s="505">
        <v>152</v>
      </c>
      <c r="J1407" s="505">
        <v>152</v>
      </c>
    </row>
    <row r="1408" spans="1:10" s="174" customFormat="1" ht="18.75" customHeight="1">
      <c r="A1408" s="184">
        <v>12</v>
      </c>
      <c r="B1408" s="179" t="s">
        <v>1246</v>
      </c>
      <c r="C1408" s="674" t="s">
        <v>1940</v>
      </c>
      <c r="D1408" s="674">
        <v>302</v>
      </c>
      <c r="E1408" s="23" t="s">
        <v>286</v>
      </c>
      <c r="F1408" s="23"/>
      <c r="G1408" s="505">
        <v>151</v>
      </c>
      <c r="H1408" s="505">
        <v>50.333333333333336</v>
      </c>
      <c r="I1408" s="505">
        <v>50.333333333333336</v>
      </c>
      <c r="J1408" s="505">
        <v>50.333333333333336</v>
      </c>
    </row>
    <row r="1409" spans="1:10" s="174" customFormat="1" ht="15.75">
      <c r="A1409" s="184">
        <v>13</v>
      </c>
      <c r="B1409" s="179" t="s">
        <v>1246</v>
      </c>
      <c r="C1409" s="674" t="s">
        <v>1939</v>
      </c>
      <c r="D1409" s="674">
        <v>400</v>
      </c>
      <c r="E1409" s="23" t="s">
        <v>286</v>
      </c>
      <c r="F1409" s="23"/>
      <c r="G1409" s="505">
        <v>200</v>
      </c>
      <c r="H1409" s="505">
        <v>66.666666666666671</v>
      </c>
      <c r="I1409" s="505">
        <v>66.666666666666671</v>
      </c>
      <c r="J1409" s="505">
        <v>66.666666666666671</v>
      </c>
    </row>
    <row r="1410" spans="1:10" s="174" customFormat="1" ht="15.75">
      <c r="A1410" s="184">
        <v>14</v>
      </c>
      <c r="B1410" s="179" t="s">
        <v>1246</v>
      </c>
      <c r="C1410" s="674" t="s">
        <v>1938</v>
      </c>
      <c r="D1410" s="674">
        <v>10</v>
      </c>
      <c r="E1410" s="23" t="s">
        <v>286</v>
      </c>
      <c r="F1410" s="23"/>
      <c r="G1410" s="23">
        <f>D1410*40/100</f>
        <v>4</v>
      </c>
      <c r="H1410" s="23">
        <f>D1410*20/100</f>
        <v>2</v>
      </c>
      <c r="I1410" s="23">
        <f>D1410*20/100</f>
        <v>2</v>
      </c>
      <c r="J1410" s="220">
        <f>D1410*20/100</f>
        <v>2</v>
      </c>
    </row>
    <row r="1411" spans="1:10" s="174" customFormat="1" ht="15.75">
      <c r="A1411" s="184">
        <v>15</v>
      </c>
      <c r="B1411" s="179" t="s">
        <v>1246</v>
      </c>
      <c r="C1411" s="674" t="s">
        <v>1937</v>
      </c>
      <c r="D1411" s="674">
        <v>330</v>
      </c>
      <c r="E1411" s="23" t="s">
        <v>286</v>
      </c>
      <c r="F1411" s="23"/>
      <c r="G1411" s="505">
        <v>165</v>
      </c>
      <c r="H1411" s="505">
        <v>55</v>
      </c>
      <c r="I1411" s="505">
        <v>55</v>
      </c>
      <c r="J1411" s="505">
        <v>55</v>
      </c>
    </row>
    <row r="1412" spans="1:10" s="174" customFormat="1" ht="15.75">
      <c r="A1412" s="184">
        <v>16</v>
      </c>
      <c r="B1412" s="179" t="s">
        <v>1246</v>
      </c>
      <c r="C1412" s="674" t="s">
        <v>1936</v>
      </c>
      <c r="D1412" s="674">
        <v>200</v>
      </c>
      <c r="E1412" s="23" t="s">
        <v>286</v>
      </c>
      <c r="F1412" s="23"/>
      <c r="G1412" s="505">
        <v>100</v>
      </c>
      <c r="H1412" s="505">
        <v>33.333333333333336</v>
      </c>
      <c r="I1412" s="505">
        <v>33.333333333333336</v>
      </c>
      <c r="J1412" s="505">
        <v>33.333333333333336</v>
      </c>
    </row>
    <row r="1413" spans="1:10" s="174" customFormat="1" ht="15.75">
      <c r="A1413" s="184">
        <v>17</v>
      </c>
      <c r="B1413" s="179" t="s">
        <v>1246</v>
      </c>
      <c r="C1413" s="674" t="s">
        <v>1935</v>
      </c>
      <c r="D1413" s="674">
        <v>56</v>
      </c>
      <c r="E1413" s="23" t="s">
        <v>286</v>
      </c>
      <c r="F1413" s="23"/>
      <c r="G1413" s="505">
        <v>28</v>
      </c>
      <c r="H1413" s="505">
        <v>9.3333333333333339</v>
      </c>
      <c r="I1413" s="505">
        <v>9.3333333333333339</v>
      </c>
      <c r="J1413" s="505">
        <v>9.3333333333333339</v>
      </c>
    </row>
    <row r="1414" spans="1:10" s="174" customFormat="1" ht="18.75" customHeight="1">
      <c r="A1414" s="184">
        <v>18</v>
      </c>
      <c r="B1414" s="179" t="s">
        <v>1934</v>
      </c>
      <c r="C1414" s="674" t="s">
        <v>1926</v>
      </c>
      <c r="D1414" s="674">
        <v>278</v>
      </c>
      <c r="E1414" s="23" t="s">
        <v>286</v>
      </c>
      <c r="F1414" s="23"/>
      <c r="G1414" s="505">
        <v>139</v>
      </c>
      <c r="H1414" s="505">
        <v>46.333333333333336</v>
      </c>
      <c r="I1414" s="505">
        <v>46.333333333333336</v>
      </c>
      <c r="J1414" s="505">
        <v>46.333333333333336</v>
      </c>
    </row>
    <row r="1415" spans="1:10" s="174" customFormat="1" ht="15.75">
      <c r="A1415" s="184">
        <v>19</v>
      </c>
      <c r="B1415" s="179" t="s">
        <v>1933</v>
      </c>
      <c r="C1415" s="674" t="s">
        <v>1926</v>
      </c>
      <c r="D1415" s="674">
        <v>1091</v>
      </c>
      <c r="E1415" s="23" t="s">
        <v>286</v>
      </c>
      <c r="F1415" s="23"/>
      <c r="G1415" s="505">
        <v>545.5</v>
      </c>
      <c r="H1415" s="505">
        <v>181.83333333333334</v>
      </c>
      <c r="I1415" s="505">
        <v>181.83333333333334</v>
      </c>
      <c r="J1415" s="505">
        <v>181.83333333333334</v>
      </c>
    </row>
    <row r="1416" spans="1:10" s="174" customFormat="1" ht="15.75">
      <c r="A1416" s="184">
        <v>20</v>
      </c>
      <c r="B1416" s="179" t="s">
        <v>1932</v>
      </c>
      <c r="C1416" s="674" t="s">
        <v>1926</v>
      </c>
      <c r="D1416" s="674">
        <v>50</v>
      </c>
      <c r="E1416" s="23" t="s">
        <v>286</v>
      </c>
      <c r="F1416" s="23"/>
      <c r="G1416" s="505">
        <v>20</v>
      </c>
      <c r="H1416" s="505">
        <v>10</v>
      </c>
      <c r="I1416" s="505">
        <v>10</v>
      </c>
      <c r="J1416" s="505">
        <v>10</v>
      </c>
    </row>
    <row r="1417" spans="1:10" s="174" customFormat="1" ht="15.75">
      <c r="A1417" s="184">
        <v>21</v>
      </c>
      <c r="B1417" s="796" t="s">
        <v>1931</v>
      </c>
      <c r="C1417" s="225" t="s">
        <v>1927</v>
      </c>
      <c r="D1417" s="674">
        <v>283</v>
      </c>
      <c r="E1417" s="23" t="s">
        <v>286</v>
      </c>
      <c r="F1417" s="23"/>
      <c r="G1417" s="506">
        <v>141.5</v>
      </c>
      <c r="H1417" s="506">
        <v>47.166666666666664</v>
      </c>
      <c r="I1417" s="506">
        <v>47.166666666666664</v>
      </c>
      <c r="J1417" s="506">
        <v>47.166666666666664</v>
      </c>
    </row>
    <row r="1418" spans="1:10" s="174" customFormat="1" ht="15.75">
      <c r="A1418" s="184">
        <v>22</v>
      </c>
      <c r="B1418" s="179" t="s">
        <v>1930</v>
      </c>
      <c r="C1418" s="674" t="s">
        <v>1927</v>
      </c>
      <c r="D1418" s="674">
        <v>100</v>
      </c>
      <c r="E1418" s="23" t="s">
        <v>286</v>
      </c>
      <c r="F1418" s="23"/>
      <c r="G1418" s="507">
        <v>50</v>
      </c>
      <c r="H1418" s="507">
        <v>16.666666666666668</v>
      </c>
      <c r="I1418" s="507">
        <v>16.666666666666668</v>
      </c>
      <c r="J1418" s="507">
        <v>16.666666666666668</v>
      </c>
    </row>
    <row r="1419" spans="1:10" s="174" customFormat="1" ht="15.75">
      <c r="A1419" s="184">
        <v>23</v>
      </c>
      <c r="B1419" s="179" t="s">
        <v>1929</v>
      </c>
      <c r="C1419" s="674" t="s">
        <v>1927</v>
      </c>
      <c r="D1419" s="674">
        <v>200</v>
      </c>
      <c r="E1419" s="23" t="s">
        <v>286</v>
      </c>
      <c r="F1419" s="23"/>
      <c r="G1419" s="507">
        <v>100</v>
      </c>
      <c r="H1419" s="507">
        <v>33.333333333333336</v>
      </c>
      <c r="I1419" s="507">
        <v>33.333333333333336</v>
      </c>
      <c r="J1419" s="507">
        <v>33.333333333333336</v>
      </c>
    </row>
    <row r="1420" spans="1:10" s="174" customFormat="1" ht="15.75">
      <c r="A1420" s="184">
        <v>24</v>
      </c>
      <c r="B1420" s="179" t="s">
        <v>1928</v>
      </c>
      <c r="C1420" s="674" t="s">
        <v>1927</v>
      </c>
      <c r="D1420" s="674">
        <v>20</v>
      </c>
      <c r="E1420" s="23" t="s">
        <v>286</v>
      </c>
      <c r="F1420" s="23"/>
      <c r="G1420" s="505">
        <v>10</v>
      </c>
      <c r="H1420" s="505">
        <v>3.3333333333333335</v>
      </c>
      <c r="I1420" s="505">
        <v>3.3333333333333335</v>
      </c>
      <c r="J1420" s="505">
        <v>3.3333333333333335</v>
      </c>
    </row>
    <row r="1421" spans="1:10" s="174" customFormat="1" ht="15.75">
      <c r="A1421" s="1072" t="s">
        <v>1882</v>
      </c>
      <c r="B1421" s="1073"/>
      <c r="C1421" s="1073"/>
      <c r="D1421" s="1073"/>
      <c r="E1421" s="1073"/>
      <c r="F1421" s="1073"/>
      <c r="G1421" s="1073"/>
      <c r="H1421" s="1073"/>
      <c r="I1421" s="1073"/>
      <c r="J1421" s="1074"/>
    </row>
    <row r="1422" spans="1:10" s="174" customFormat="1" ht="15.75">
      <c r="A1422" s="184">
        <v>25</v>
      </c>
      <c r="B1422" s="797" t="s">
        <v>2887</v>
      </c>
      <c r="C1422" s="23"/>
      <c r="D1422" s="23">
        <v>100</v>
      </c>
      <c r="E1422" s="23" t="s">
        <v>286</v>
      </c>
      <c r="F1422" s="23"/>
      <c r="G1422" s="23">
        <f>D1422/100*20</f>
        <v>20</v>
      </c>
      <c r="H1422" s="23">
        <f>D1422/100*40</f>
        <v>40</v>
      </c>
      <c r="I1422" s="23">
        <f>D1422/100*35</f>
        <v>35</v>
      </c>
      <c r="J1422" s="220">
        <f>D1422/100*5</f>
        <v>5</v>
      </c>
    </row>
    <row r="1423" spans="1:10" s="174" customFormat="1" ht="15.75">
      <c r="A1423" s="184">
        <v>26</v>
      </c>
      <c r="B1423" s="814" t="s">
        <v>1247</v>
      </c>
      <c r="C1423" s="23"/>
      <c r="D1423" s="23">
        <v>4000</v>
      </c>
      <c r="E1423" s="23" t="s">
        <v>432</v>
      </c>
      <c r="F1423" s="23"/>
      <c r="G1423" s="23">
        <f>D1423/100*20</f>
        <v>800</v>
      </c>
      <c r="H1423" s="23">
        <f>D1423/100*40</f>
        <v>1600</v>
      </c>
      <c r="I1423" s="23">
        <f t="shared" ref="I1423:I1431" si="26">D1423/100*35</f>
        <v>1400</v>
      </c>
      <c r="J1423" s="220">
        <f t="shared" ref="J1423:J1431" si="27">D1423/100*5</f>
        <v>200</v>
      </c>
    </row>
    <row r="1424" spans="1:10" s="174" customFormat="1" ht="15.75">
      <c r="A1424" s="184">
        <v>27</v>
      </c>
      <c r="B1424" s="814" t="s">
        <v>1248</v>
      </c>
      <c r="C1424" s="23"/>
      <c r="D1424" s="23">
        <v>300</v>
      </c>
      <c r="E1424" s="23" t="s">
        <v>286</v>
      </c>
      <c r="F1424" s="23"/>
      <c r="G1424" s="23">
        <f t="shared" ref="G1424:G1431" si="28">D1424/100*20</f>
        <v>60</v>
      </c>
      <c r="H1424" s="23">
        <f t="shared" ref="H1424:H1431" si="29">D1424/100*40</f>
        <v>120</v>
      </c>
      <c r="I1424" s="23">
        <f t="shared" si="26"/>
        <v>105</v>
      </c>
      <c r="J1424" s="220">
        <f t="shared" si="27"/>
        <v>15</v>
      </c>
    </row>
    <row r="1425" spans="1:10" s="174" customFormat="1" ht="15.75">
      <c r="A1425" s="184">
        <v>28</v>
      </c>
      <c r="B1425" s="814" t="s">
        <v>4694</v>
      </c>
      <c r="C1425" s="23"/>
      <c r="D1425" s="23">
        <v>6</v>
      </c>
      <c r="E1425" s="23" t="s">
        <v>286</v>
      </c>
      <c r="F1425" s="23"/>
      <c r="G1425" s="23">
        <v>4</v>
      </c>
      <c r="H1425" s="23">
        <v>2</v>
      </c>
      <c r="I1425" s="23">
        <v>0</v>
      </c>
      <c r="J1425" s="220">
        <v>0</v>
      </c>
    </row>
    <row r="1426" spans="1:10" s="174" customFormat="1" ht="15.75">
      <c r="A1426" s="184">
        <v>29</v>
      </c>
      <c r="B1426" s="814" t="s">
        <v>1249</v>
      </c>
      <c r="C1426" s="23"/>
      <c r="D1426" s="23">
        <v>1000</v>
      </c>
      <c r="E1426" s="23" t="s">
        <v>432</v>
      </c>
      <c r="F1426" s="23"/>
      <c r="G1426" s="23">
        <f t="shared" si="28"/>
        <v>200</v>
      </c>
      <c r="H1426" s="23">
        <f t="shared" si="29"/>
        <v>400</v>
      </c>
      <c r="I1426" s="23">
        <f t="shared" si="26"/>
        <v>350</v>
      </c>
      <c r="J1426" s="220">
        <f t="shared" si="27"/>
        <v>50</v>
      </c>
    </row>
    <row r="1427" spans="1:10" s="174" customFormat="1" ht="15.75">
      <c r="A1427" s="184">
        <v>30</v>
      </c>
      <c r="B1427" s="814" t="s">
        <v>1250</v>
      </c>
      <c r="C1427" s="23"/>
      <c r="D1427" s="23">
        <v>500</v>
      </c>
      <c r="E1427" s="23" t="s">
        <v>432</v>
      </c>
      <c r="F1427" s="23"/>
      <c r="G1427" s="23">
        <f t="shared" si="28"/>
        <v>100</v>
      </c>
      <c r="H1427" s="23">
        <f t="shared" si="29"/>
        <v>200</v>
      </c>
      <c r="I1427" s="23">
        <f t="shared" si="26"/>
        <v>175</v>
      </c>
      <c r="J1427" s="220">
        <f t="shared" si="27"/>
        <v>25</v>
      </c>
    </row>
    <row r="1428" spans="1:10" s="174" customFormat="1" ht="15.75">
      <c r="A1428" s="184">
        <v>31</v>
      </c>
      <c r="B1428" s="814" t="s">
        <v>2889</v>
      </c>
      <c r="C1428" s="23"/>
      <c r="D1428" s="23">
        <v>120</v>
      </c>
      <c r="E1428" s="23" t="s">
        <v>286</v>
      </c>
      <c r="F1428" s="23"/>
      <c r="G1428" s="23">
        <f t="shared" si="28"/>
        <v>24</v>
      </c>
      <c r="H1428" s="23">
        <f t="shared" si="29"/>
        <v>48</v>
      </c>
      <c r="I1428" s="23">
        <f t="shared" si="26"/>
        <v>42</v>
      </c>
      <c r="J1428" s="220">
        <f t="shared" si="27"/>
        <v>6</v>
      </c>
    </row>
    <row r="1429" spans="1:10" s="669" customFormat="1" ht="15.75">
      <c r="A1429" s="184">
        <v>32</v>
      </c>
      <c r="B1429" s="814" t="s">
        <v>4695</v>
      </c>
      <c r="C1429" s="23"/>
      <c r="D1429" s="23">
        <v>36</v>
      </c>
      <c r="E1429" s="23" t="s">
        <v>286</v>
      </c>
      <c r="F1429" s="23"/>
      <c r="G1429" s="23">
        <v>8</v>
      </c>
      <c r="H1429" s="23">
        <v>14</v>
      </c>
      <c r="I1429" s="23">
        <v>12</v>
      </c>
      <c r="J1429" s="220">
        <v>2</v>
      </c>
    </row>
    <row r="1430" spans="1:10" s="669" customFormat="1" ht="15.75">
      <c r="A1430" s="184">
        <v>33</v>
      </c>
      <c r="B1430" s="814" t="s">
        <v>4696</v>
      </c>
      <c r="C1430" s="23"/>
      <c r="D1430" s="23">
        <v>12</v>
      </c>
      <c r="E1430" s="23" t="s">
        <v>286</v>
      </c>
      <c r="F1430" s="23"/>
      <c r="G1430" s="23">
        <v>4</v>
      </c>
      <c r="H1430" s="23">
        <v>4</v>
      </c>
      <c r="I1430" s="23">
        <v>4</v>
      </c>
      <c r="J1430" s="220">
        <v>0</v>
      </c>
    </row>
    <row r="1431" spans="1:10" s="174" customFormat="1" ht="15.75">
      <c r="A1431" s="184">
        <v>34</v>
      </c>
      <c r="B1431" s="797" t="s">
        <v>2850</v>
      </c>
      <c r="C1431" s="23"/>
      <c r="D1431" s="23">
        <v>600</v>
      </c>
      <c r="E1431" s="23" t="s">
        <v>432</v>
      </c>
      <c r="F1431" s="23"/>
      <c r="G1431" s="23">
        <f t="shared" si="28"/>
        <v>120</v>
      </c>
      <c r="H1431" s="23">
        <f t="shared" si="29"/>
        <v>240</v>
      </c>
      <c r="I1431" s="23">
        <f t="shared" si="26"/>
        <v>210</v>
      </c>
      <c r="J1431" s="220">
        <f t="shared" si="27"/>
        <v>30</v>
      </c>
    </row>
    <row r="1432" spans="1:10" s="174" customFormat="1" ht="18.75">
      <c r="A1432" s="1075" t="s">
        <v>1251</v>
      </c>
      <c r="B1432" s="1035"/>
      <c r="C1432" s="1035"/>
      <c r="D1432" s="1035"/>
      <c r="E1432" s="1035"/>
      <c r="F1432" s="1035"/>
      <c r="G1432" s="1035"/>
      <c r="H1432" s="1035"/>
      <c r="I1432" s="1035"/>
      <c r="J1432" s="1076"/>
    </row>
    <row r="1433" spans="1:10" s="174" customFormat="1">
      <c r="A1433" s="23">
        <v>32</v>
      </c>
      <c r="B1433" s="797" t="s">
        <v>1252</v>
      </c>
      <c r="C1433" s="23" t="s">
        <v>1253</v>
      </c>
      <c r="D1433" s="23">
        <v>80</v>
      </c>
      <c r="E1433" s="23" t="s">
        <v>286</v>
      </c>
      <c r="F1433" s="23"/>
      <c r="G1433" s="23">
        <v>16</v>
      </c>
      <c r="H1433" s="23">
        <v>30</v>
      </c>
      <c r="I1433" s="23">
        <v>20</v>
      </c>
      <c r="J1433" s="23">
        <v>14</v>
      </c>
    </row>
    <row r="1434" spans="1:10" s="174" customFormat="1">
      <c r="A1434" s="23">
        <v>33</v>
      </c>
      <c r="B1434" s="797" t="s">
        <v>1254</v>
      </c>
      <c r="C1434" s="23" t="s">
        <v>1255</v>
      </c>
      <c r="D1434" s="23">
        <v>320</v>
      </c>
      <c r="E1434" s="23" t="s">
        <v>286</v>
      </c>
      <c r="F1434" s="23"/>
      <c r="G1434" s="23">
        <v>64</v>
      </c>
      <c r="H1434" s="23">
        <v>96</v>
      </c>
      <c r="I1434" s="23">
        <v>96</v>
      </c>
      <c r="J1434" s="23">
        <v>64</v>
      </c>
    </row>
    <row r="1435" spans="1:10" s="174" customFormat="1">
      <c r="A1435" s="23">
        <v>34</v>
      </c>
      <c r="B1435" s="797" t="s">
        <v>1256</v>
      </c>
      <c r="C1435" s="23" t="s">
        <v>1257</v>
      </c>
      <c r="D1435" s="23">
        <v>15</v>
      </c>
      <c r="E1435" s="23" t="s">
        <v>414</v>
      </c>
      <c r="F1435" s="23"/>
      <c r="G1435" s="23">
        <v>3</v>
      </c>
      <c r="H1435" s="23">
        <v>6</v>
      </c>
      <c r="I1435" s="23">
        <f>D1435*20/100</f>
        <v>3</v>
      </c>
      <c r="J1435" s="23">
        <f>D1435*20/100</f>
        <v>3</v>
      </c>
    </row>
    <row r="1436" spans="1:10" s="174" customFormat="1">
      <c r="A1436" s="23">
        <v>35</v>
      </c>
      <c r="B1436" s="797" t="s">
        <v>1258</v>
      </c>
      <c r="C1436" s="23" t="s">
        <v>1257</v>
      </c>
      <c r="D1436" s="23">
        <v>20</v>
      </c>
      <c r="E1436" s="23" t="s">
        <v>414</v>
      </c>
      <c r="F1436" s="23"/>
      <c r="G1436" s="23">
        <v>4</v>
      </c>
      <c r="H1436" s="23">
        <v>8</v>
      </c>
      <c r="I1436" s="23">
        <f>D1436*20/100</f>
        <v>4</v>
      </c>
      <c r="J1436" s="23">
        <f>D1436*20/100</f>
        <v>4</v>
      </c>
    </row>
    <row r="1437" spans="1:10" s="174" customFormat="1" ht="18.75">
      <c r="A1437" s="1077" t="s">
        <v>1259</v>
      </c>
      <c r="B1437" s="1030"/>
      <c r="C1437" s="1030"/>
      <c r="D1437" s="1030"/>
      <c r="E1437" s="1030"/>
      <c r="F1437" s="1030"/>
      <c r="G1437" s="1030"/>
      <c r="H1437" s="1030"/>
      <c r="I1437" s="1030"/>
      <c r="J1437" s="1078"/>
    </row>
    <row r="1438" spans="1:10" s="174" customFormat="1">
      <c r="A1438" s="23">
        <v>36</v>
      </c>
      <c r="B1438" s="797" t="s">
        <v>1260</v>
      </c>
      <c r="C1438" s="23" t="s">
        <v>1261</v>
      </c>
      <c r="D1438" s="23">
        <v>100</v>
      </c>
      <c r="E1438" s="23" t="s">
        <v>414</v>
      </c>
      <c r="F1438" s="23"/>
      <c r="G1438" s="23">
        <v>15</v>
      </c>
      <c r="H1438" s="23">
        <v>35</v>
      </c>
      <c r="I1438" s="23">
        <v>35</v>
      </c>
      <c r="J1438" s="220">
        <v>15</v>
      </c>
    </row>
    <row r="1439" spans="1:10" s="174" customFormat="1">
      <c r="A1439" s="23">
        <v>37</v>
      </c>
      <c r="B1439" s="797" t="s">
        <v>1262</v>
      </c>
      <c r="C1439" s="23" t="s">
        <v>1261</v>
      </c>
      <c r="D1439" s="23">
        <v>50</v>
      </c>
      <c r="E1439" s="23" t="s">
        <v>414</v>
      </c>
      <c r="F1439" s="23"/>
      <c r="G1439" s="23">
        <f>D1439/100*20</f>
        <v>10</v>
      </c>
      <c r="H1439" s="23">
        <f>D1439/100*40</f>
        <v>20</v>
      </c>
      <c r="I1439" s="23">
        <f>D1439/100*35</f>
        <v>17.5</v>
      </c>
      <c r="J1439" s="220">
        <f>D1439/100*5</f>
        <v>2.5</v>
      </c>
    </row>
    <row r="1440" spans="1:10" s="174" customFormat="1">
      <c r="A1440" s="23">
        <v>38</v>
      </c>
      <c r="B1440" s="797" t="s">
        <v>1263</v>
      </c>
      <c r="C1440" s="23" t="s">
        <v>1261</v>
      </c>
      <c r="D1440" s="23">
        <v>30</v>
      </c>
      <c r="E1440" s="23" t="s">
        <v>414</v>
      </c>
      <c r="F1440" s="23"/>
      <c r="G1440" s="23">
        <f>D1440/100*20</f>
        <v>6</v>
      </c>
      <c r="H1440" s="23">
        <f>D1440/100*40</f>
        <v>12</v>
      </c>
      <c r="I1440" s="23">
        <v>10</v>
      </c>
      <c r="J1440" s="220">
        <v>2</v>
      </c>
    </row>
    <row r="1441" spans="1:10" s="174" customFormat="1">
      <c r="A1441" s="23">
        <v>39</v>
      </c>
      <c r="B1441" s="797" t="s">
        <v>1264</v>
      </c>
      <c r="C1441" s="23"/>
      <c r="D1441" s="23">
        <v>15</v>
      </c>
      <c r="E1441" s="23" t="s">
        <v>414</v>
      </c>
      <c r="F1441" s="23"/>
      <c r="G1441" s="23">
        <f>D1441/100*20</f>
        <v>3</v>
      </c>
      <c r="H1441" s="23">
        <f>D1441/100*40</f>
        <v>6</v>
      </c>
      <c r="I1441" s="23">
        <v>5</v>
      </c>
      <c r="J1441" s="220">
        <v>1</v>
      </c>
    </row>
    <row r="1442" spans="1:10" s="174" customFormat="1" ht="18.75" customHeight="1">
      <c r="A1442" s="1077" t="s">
        <v>1265</v>
      </c>
      <c r="B1442" s="1030"/>
      <c r="C1442" s="1030"/>
      <c r="D1442" s="1030"/>
      <c r="E1442" s="1030"/>
      <c r="F1442" s="1030"/>
      <c r="G1442" s="1030"/>
      <c r="H1442" s="1030"/>
      <c r="I1442" s="1030"/>
      <c r="J1442" s="1078"/>
    </row>
    <row r="1443" spans="1:10" s="174" customFormat="1">
      <c r="A1443" s="23">
        <v>40</v>
      </c>
      <c r="B1443" s="797" t="s">
        <v>1266</v>
      </c>
      <c r="C1443" s="23"/>
      <c r="D1443" s="23">
        <v>120</v>
      </c>
      <c r="E1443" s="23" t="s">
        <v>414</v>
      </c>
      <c r="F1443" s="23"/>
      <c r="G1443" s="23">
        <v>24</v>
      </c>
      <c r="H1443" s="23">
        <v>48</v>
      </c>
      <c r="I1443" s="23">
        <f t="shared" ref="I1443:I1457" si="30">D1443*20/100</f>
        <v>24</v>
      </c>
      <c r="J1443" s="23">
        <f t="shared" ref="J1443:J1457" si="31">D1443*20/100</f>
        <v>24</v>
      </c>
    </row>
    <row r="1444" spans="1:10" s="174" customFormat="1">
      <c r="A1444" s="23">
        <v>41</v>
      </c>
      <c r="B1444" s="797" t="s">
        <v>1267</v>
      </c>
      <c r="C1444" s="23"/>
      <c r="D1444" s="23">
        <v>30</v>
      </c>
      <c r="E1444" s="23" t="s">
        <v>414</v>
      </c>
      <c r="F1444" s="23"/>
      <c r="G1444" s="23">
        <f t="shared" ref="G1444:G1454" si="32">D1444*40/100</f>
        <v>12</v>
      </c>
      <c r="H1444" s="23">
        <f t="shared" ref="H1444:H1457" si="33">D1444*20/100</f>
        <v>6</v>
      </c>
      <c r="I1444" s="23">
        <f t="shared" si="30"/>
        <v>6</v>
      </c>
      <c r="J1444" s="23">
        <f t="shared" si="31"/>
        <v>6</v>
      </c>
    </row>
    <row r="1445" spans="1:10" s="174" customFormat="1">
      <c r="A1445" s="23">
        <v>42</v>
      </c>
      <c r="B1445" s="797" t="s">
        <v>1268</v>
      </c>
      <c r="C1445" s="23"/>
      <c r="D1445" s="23">
        <v>5</v>
      </c>
      <c r="E1445" s="23" t="s">
        <v>414</v>
      </c>
      <c r="F1445" s="23"/>
      <c r="G1445" s="23">
        <f t="shared" si="32"/>
        <v>2</v>
      </c>
      <c r="H1445" s="23">
        <f t="shared" si="33"/>
        <v>1</v>
      </c>
      <c r="I1445" s="23">
        <f t="shared" si="30"/>
        <v>1</v>
      </c>
      <c r="J1445" s="23">
        <f t="shared" si="31"/>
        <v>1</v>
      </c>
    </row>
    <row r="1446" spans="1:10" s="174" customFormat="1">
      <c r="A1446" s="23">
        <v>43</v>
      </c>
      <c r="B1446" s="797" t="s">
        <v>1269</v>
      </c>
      <c r="C1446" s="23"/>
      <c r="D1446" s="23">
        <v>40</v>
      </c>
      <c r="E1446" s="23" t="s">
        <v>414</v>
      </c>
      <c r="F1446" s="23"/>
      <c r="G1446" s="23">
        <f t="shared" si="32"/>
        <v>16</v>
      </c>
      <c r="H1446" s="23">
        <f t="shared" si="33"/>
        <v>8</v>
      </c>
      <c r="I1446" s="23">
        <f t="shared" si="30"/>
        <v>8</v>
      </c>
      <c r="J1446" s="23">
        <f t="shared" si="31"/>
        <v>8</v>
      </c>
    </row>
    <row r="1447" spans="1:10" s="174" customFormat="1">
      <c r="A1447" s="23">
        <v>44</v>
      </c>
      <c r="B1447" s="797" t="s">
        <v>1270</v>
      </c>
      <c r="C1447" s="23"/>
      <c r="D1447" s="23">
        <v>250</v>
      </c>
      <c r="E1447" s="23" t="s">
        <v>414</v>
      </c>
      <c r="F1447" s="23"/>
      <c r="G1447" s="23">
        <v>50</v>
      </c>
      <c r="H1447" s="23">
        <v>100</v>
      </c>
      <c r="I1447" s="23">
        <f t="shared" si="30"/>
        <v>50</v>
      </c>
      <c r="J1447" s="23">
        <f t="shared" si="31"/>
        <v>50</v>
      </c>
    </row>
    <row r="1448" spans="1:10" s="174" customFormat="1">
      <c r="A1448" s="23">
        <v>45</v>
      </c>
      <c r="B1448" s="797" t="s">
        <v>1271</v>
      </c>
      <c r="C1448" s="23"/>
      <c r="D1448" s="23">
        <v>60</v>
      </c>
      <c r="E1448" s="23" t="s">
        <v>414</v>
      </c>
      <c r="F1448" s="23"/>
      <c r="G1448" s="23">
        <f t="shared" si="32"/>
        <v>24</v>
      </c>
      <c r="H1448" s="23">
        <f t="shared" si="33"/>
        <v>12</v>
      </c>
      <c r="I1448" s="23">
        <f t="shared" si="30"/>
        <v>12</v>
      </c>
      <c r="J1448" s="23">
        <f t="shared" si="31"/>
        <v>12</v>
      </c>
    </row>
    <row r="1449" spans="1:10" s="174" customFormat="1">
      <c r="A1449" s="23">
        <v>46</v>
      </c>
      <c r="B1449" s="797" t="s">
        <v>1272</v>
      </c>
      <c r="C1449" s="23"/>
      <c r="D1449" s="23">
        <v>10</v>
      </c>
      <c r="E1449" s="23" t="s">
        <v>414</v>
      </c>
      <c r="F1449" s="23"/>
      <c r="G1449" s="23">
        <f t="shared" si="32"/>
        <v>4</v>
      </c>
      <c r="H1449" s="23">
        <f t="shared" si="33"/>
        <v>2</v>
      </c>
      <c r="I1449" s="23">
        <f t="shared" si="30"/>
        <v>2</v>
      </c>
      <c r="J1449" s="23">
        <f t="shared" si="31"/>
        <v>2</v>
      </c>
    </row>
    <row r="1450" spans="1:10" s="174" customFormat="1">
      <c r="A1450" s="23">
        <v>47</v>
      </c>
      <c r="B1450" s="797" t="s">
        <v>1273</v>
      </c>
      <c r="C1450" s="23"/>
      <c r="D1450" s="23">
        <v>200</v>
      </c>
      <c r="E1450" s="23" t="s">
        <v>414</v>
      </c>
      <c r="F1450" s="23"/>
      <c r="G1450" s="23">
        <v>40</v>
      </c>
      <c r="H1450" s="23">
        <v>80</v>
      </c>
      <c r="I1450" s="23">
        <f t="shared" si="30"/>
        <v>40</v>
      </c>
      <c r="J1450" s="23">
        <f t="shared" si="31"/>
        <v>40</v>
      </c>
    </row>
    <row r="1451" spans="1:10" s="174" customFormat="1">
      <c r="A1451" s="23">
        <v>48</v>
      </c>
      <c r="B1451" s="797" t="s">
        <v>1274</v>
      </c>
      <c r="C1451" s="23"/>
      <c r="D1451" s="23">
        <v>60</v>
      </c>
      <c r="E1451" s="23" t="s">
        <v>414</v>
      </c>
      <c r="F1451" s="23"/>
      <c r="G1451" s="23">
        <f t="shared" si="32"/>
        <v>24</v>
      </c>
      <c r="H1451" s="23">
        <f t="shared" si="33"/>
        <v>12</v>
      </c>
      <c r="I1451" s="23">
        <f t="shared" si="30"/>
        <v>12</v>
      </c>
      <c r="J1451" s="23">
        <f t="shared" si="31"/>
        <v>12</v>
      </c>
    </row>
    <row r="1452" spans="1:10" s="174" customFormat="1">
      <c r="A1452" s="23">
        <v>49</v>
      </c>
      <c r="B1452" s="797" t="s">
        <v>1275</v>
      </c>
      <c r="C1452" s="23"/>
      <c r="D1452" s="23">
        <v>20</v>
      </c>
      <c r="E1452" s="23" t="s">
        <v>414</v>
      </c>
      <c r="F1452" s="23"/>
      <c r="G1452" s="23">
        <f t="shared" si="32"/>
        <v>8</v>
      </c>
      <c r="H1452" s="23">
        <f t="shared" si="33"/>
        <v>4</v>
      </c>
      <c r="I1452" s="23">
        <f t="shared" si="30"/>
        <v>4</v>
      </c>
      <c r="J1452" s="23">
        <f t="shared" si="31"/>
        <v>4</v>
      </c>
    </row>
    <row r="1453" spans="1:10" s="174" customFormat="1">
      <c r="A1453" s="23">
        <v>50</v>
      </c>
      <c r="B1453" s="797" t="s">
        <v>1276</v>
      </c>
      <c r="C1453" s="23"/>
      <c r="D1453" s="23">
        <v>12</v>
      </c>
      <c r="E1453" s="23" t="s">
        <v>414</v>
      </c>
      <c r="F1453" s="23"/>
      <c r="G1453" s="23">
        <v>6</v>
      </c>
      <c r="H1453" s="23">
        <f t="shared" si="33"/>
        <v>2.4</v>
      </c>
      <c r="I1453" s="23">
        <f t="shared" si="30"/>
        <v>2.4</v>
      </c>
      <c r="J1453" s="23">
        <f t="shared" si="31"/>
        <v>2.4</v>
      </c>
    </row>
    <row r="1454" spans="1:10" s="174" customFormat="1">
      <c r="A1454" s="23">
        <v>51</v>
      </c>
      <c r="B1454" s="797" t="s">
        <v>1277</v>
      </c>
      <c r="C1454" s="23"/>
      <c r="D1454" s="23">
        <v>10</v>
      </c>
      <c r="E1454" s="23" t="s">
        <v>414</v>
      </c>
      <c r="F1454" s="23"/>
      <c r="G1454" s="23">
        <f t="shared" si="32"/>
        <v>4</v>
      </c>
      <c r="H1454" s="23">
        <f t="shared" si="33"/>
        <v>2</v>
      </c>
      <c r="I1454" s="23">
        <f t="shared" si="30"/>
        <v>2</v>
      </c>
      <c r="J1454" s="23">
        <f t="shared" si="31"/>
        <v>2</v>
      </c>
    </row>
    <row r="1455" spans="1:10" s="174" customFormat="1">
      <c r="A1455" s="23">
        <v>52</v>
      </c>
      <c r="B1455" s="797" t="s">
        <v>1278</v>
      </c>
      <c r="C1455" s="23"/>
      <c r="D1455" s="23">
        <v>4</v>
      </c>
      <c r="E1455" s="23" t="s">
        <v>414</v>
      </c>
      <c r="F1455" s="23"/>
      <c r="G1455" s="23">
        <v>1</v>
      </c>
      <c r="H1455" s="23">
        <v>1</v>
      </c>
      <c r="I1455" s="23">
        <v>1</v>
      </c>
      <c r="J1455" s="23">
        <v>1</v>
      </c>
    </row>
    <row r="1456" spans="1:10" s="174" customFormat="1">
      <c r="A1456" s="23">
        <v>53</v>
      </c>
      <c r="B1456" s="797" t="s">
        <v>1279</v>
      </c>
      <c r="C1456" s="23" t="s">
        <v>1280</v>
      </c>
      <c r="D1456" s="23">
        <v>3000</v>
      </c>
      <c r="E1456" s="23" t="s">
        <v>286</v>
      </c>
      <c r="F1456" s="23"/>
      <c r="G1456" s="23">
        <v>600</v>
      </c>
      <c r="H1456" s="23">
        <v>1200</v>
      </c>
      <c r="I1456" s="23">
        <f t="shared" si="30"/>
        <v>600</v>
      </c>
      <c r="J1456" s="23">
        <f t="shared" si="31"/>
        <v>600</v>
      </c>
    </row>
    <row r="1457" spans="1:10" s="174" customFormat="1">
      <c r="A1457" s="23">
        <v>54</v>
      </c>
      <c r="B1457" s="797" t="s">
        <v>1281</v>
      </c>
      <c r="C1457" s="23"/>
      <c r="D1457" s="23">
        <v>10</v>
      </c>
      <c r="E1457" s="23" t="s">
        <v>414</v>
      </c>
      <c r="F1457" s="23"/>
      <c r="G1457" s="23">
        <v>4</v>
      </c>
      <c r="H1457" s="23">
        <f t="shared" si="33"/>
        <v>2</v>
      </c>
      <c r="I1457" s="23">
        <f t="shared" si="30"/>
        <v>2</v>
      </c>
      <c r="J1457" s="23">
        <f t="shared" si="31"/>
        <v>2</v>
      </c>
    </row>
    <row r="1458" spans="1:10" s="174" customFormat="1" ht="26.25">
      <c r="A1458" s="1029" t="s">
        <v>2876</v>
      </c>
      <c r="B1458" s="1029"/>
      <c r="C1458" s="1029"/>
      <c r="D1458" s="1029"/>
      <c r="E1458" s="1029"/>
      <c r="F1458" s="1029"/>
      <c r="G1458" s="1029"/>
      <c r="H1458" s="1029"/>
      <c r="I1458" s="1029"/>
      <c r="J1458" s="1029"/>
    </row>
    <row r="1459" spans="1:10" s="174" customFormat="1">
      <c r="A1459" s="1026" t="s">
        <v>838</v>
      </c>
      <c r="B1459" s="1027"/>
      <c r="C1459" s="1027"/>
      <c r="D1459" s="1027"/>
      <c r="E1459" s="1027"/>
      <c r="F1459" s="1027"/>
      <c r="G1459" s="1027"/>
      <c r="H1459" s="1027"/>
      <c r="I1459" s="1027"/>
      <c r="J1459" s="1028"/>
    </row>
    <row r="1460" spans="1:10" s="174" customFormat="1">
      <c r="A1460" s="82">
        <v>1</v>
      </c>
      <c r="B1460" s="797" t="s">
        <v>839</v>
      </c>
      <c r="C1460" s="99" t="s">
        <v>2260</v>
      </c>
      <c r="D1460" s="464" t="s">
        <v>286</v>
      </c>
      <c r="E1460" s="464">
        <v>70</v>
      </c>
      <c r="F1460" s="464"/>
      <c r="G1460" s="464">
        <f>E1460*0.4</f>
        <v>28</v>
      </c>
      <c r="H1460" s="464">
        <f>E1460*0.2</f>
        <v>14</v>
      </c>
      <c r="I1460" s="464">
        <f>E1460*0.2</f>
        <v>14</v>
      </c>
      <c r="J1460" s="464">
        <f>E1460*0.2</f>
        <v>14</v>
      </c>
    </row>
    <row r="1461" spans="1:10" s="174" customFormat="1">
      <c r="A1461" s="82">
        <v>2</v>
      </c>
      <c r="B1461" s="797" t="s">
        <v>840</v>
      </c>
      <c r="C1461" s="465" t="s">
        <v>2261</v>
      </c>
      <c r="D1461" s="464" t="s">
        <v>286</v>
      </c>
      <c r="E1461" s="464">
        <v>150</v>
      </c>
      <c r="F1461" s="464"/>
      <c r="G1461" s="464">
        <f t="shared" ref="G1461:G1524" si="34">E1461*0.4</f>
        <v>60</v>
      </c>
      <c r="H1461" s="464">
        <f t="shared" ref="H1461:H1471" si="35">E1461*0.2</f>
        <v>30</v>
      </c>
      <c r="I1461" s="464">
        <f t="shared" ref="I1461:I1471" si="36">E1461*0.2</f>
        <v>30</v>
      </c>
      <c r="J1461" s="464">
        <f t="shared" ref="J1461:J1471" si="37">E1461*0.2</f>
        <v>30</v>
      </c>
    </row>
    <row r="1462" spans="1:10" s="174" customFormat="1">
      <c r="A1462" s="82">
        <v>3</v>
      </c>
      <c r="B1462" s="797" t="s">
        <v>841</v>
      </c>
      <c r="C1462" s="99" t="s">
        <v>2262</v>
      </c>
      <c r="D1462" s="464" t="s">
        <v>286</v>
      </c>
      <c r="E1462" s="464">
        <v>80</v>
      </c>
      <c r="F1462" s="464"/>
      <c r="G1462" s="464">
        <f t="shared" si="34"/>
        <v>32</v>
      </c>
      <c r="H1462" s="464">
        <f t="shared" si="35"/>
        <v>16</v>
      </c>
      <c r="I1462" s="464">
        <f t="shared" si="36"/>
        <v>16</v>
      </c>
      <c r="J1462" s="464">
        <f t="shared" si="37"/>
        <v>16</v>
      </c>
    </row>
    <row r="1463" spans="1:10" s="174" customFormat="1">
      <c r="A1463" s="82">
        <v>4</v>
      </c>
      <c r="B1463" s="797" t="s">
        <v>842</v>
      </c>
      <c r="C1463" s="465" t="s">
        <v>2263</v>
      </c>
      <c r="D1463" s="464" t="s">
        <v>286</v>
      </c>
      <c r="E1463" s="464">
        <v>230</v>
      </c>
      <c r="F1463" s="464"/>
      <c r="G1463" s="464">
        <f t="shared" si="34"/>
        <v>92</v>
      </c>
      <c r="H1463" s="464">
        <f t="shared" si="35"/>
        <v>46</v>
      </c>
      <c r="I1463" s="464">
        <f t="shared" si="36"/>
        <v>46</v>
      </c>
      <c r="J1463" s="464">
        <f t="shared" si="37"/>
        <v>46</v>
      </c>
    </row>
    <row r="1464" spans="1:10" s="174" customFormat="1">
      <c r="A1464" s="82">
        <v>5</v>
      </c>
      <c r="B1464" s="797" t="s">
        <v>843</v>
      </c>
      <c r="C1464" s="465" t="s">
        <v>2264</v>
      </c>
      <c r="D1464" s="464" t="s">
        <v>286</v>
      </c>
      <c r="E1464" s="464">
        <v>50</v>
      </c>
      <c r="F1464" s="464"/>
      <c r="G1464" s="464">
        <f t="shared" si="34"/>
        <v>20</v>
      </c>
      <c r="H1464" s="464">
        <f t="shared" si="35"/>
        <v>10</v>
      </c>
      <c r="I1464" s="464">
        <f t="shared" si="36"/>
        <v>10</v>
      </c>
      <c r="J1464" s="464">
        <f t="shared" si="37"/>
        <v>10</v>
      </c>
    </row>
    <row r="1465" spans="1:10" s="174" customFormat="1">
      <c r="A1465" s="82">
        <v>6</v>
      </c>
      <c r="B1465" s="797" t="s">
        <v>844</v>
      </c>
      <c r="C1465" s="465" t="s">
        <v>2265</v>
      </c>
      <c r="D1465" s="464" t="s">
        <v>286</v>
      </c>
      <c r="E1465" s="464">
        <v>370</v>
      </c>
      <c r="F1465" s="464"/>
      <c r="G1465" s="464">
        <f t="shared" si="34"/>
        <v>148</v>
      </c>
      <c r="H1465" s="464">
        <f t="shared" si="35"/>
        <v>74</v>
      </c>
      <c r="I1465" s="464">
        <f t="shared" si="36"/>
        <v>74</v>
      </c>
      <c r="J1465" s="464">
        <f t="shared" si="37"/>
        <v>74</v>
      </c>
    </row>
    <row r="1466" spans="1:10" s="174" customFormat="1">
      <c r="A1466" s="82">
        <v>7</v>
      </c>
      <c r="B1466" s="797" t="s">
        <v>845</v>
      </c>
      <c r="C1466" s="465" t="s">
        <v>2266</v>
      </c>
      <c r="D1466" s="464" t="s">
        <v>286</v>
      </c>
      <c r="E1466" s="464">
        <v>50</v>
      </c>
      <c r="F1466" s="464"/>
      <c r="G1466" s="464">
        <f t="shared" si="34"/>
        <v>20</v>
      </c>
      <c r="H1466" s="464">
        <f t="shared" si="35"/>
        <v>10</v>
      </c>
      <c r="I1466" s="464">
        <f t="shared" si="36"/>
        <v>10</v>
      </c>
      <c r="J1466" s="464">
        <f t="shared" si="37"/>
        <v>10</v>
      </c>
    </row>
    <row r="1467" spans="1:10" s="174" customFormat="1">
      <c r="A1467" s="82">
        <v>8</v>
      </c>
      <c r="B1467" s="797" t="s">
        <v>846</v>
      </c>
      <c r="C1467" s="465" t="s">
        <v>2267</v>
      </c>
      <c r="D1467" s="464" t="s">
        <v>286</v>
      </c>
      <c r="E1467" s="464">
        <v>555</v>
      </c>
      <c r="F1467" s="464"/>
      <c r="G1467" s="464">
        <f t="shared" si="34"/>
        <v>222</v>
      </c>
      <c r="H1467" s="464">
        <f t="shared" si="35"/>
        <v>111</v>
      </c>
      <c r="I1467" s="464">
        <f t="shared" si="36"/>
        <v>111</v>
      </c>
      <c r="J1467" s="464">
        <f t="shared" si="37"/>
        <v>111</v>
      </c>
    </row>
    <row r="1468" spans="1:10" s="174" customFormat="1">
      <c r="A1468" s="82">
        <v>9</v>
      </c>
      <c r="B1468" s="797" t="s">
        <v>847</v>
      </c>
      <c r="C1468" s="465" t="s">
        <v>2268</v>
      </c>
      <c r="D1468" s="464" t="s">
        <v>286</v>
      </c>
      <c r="E1468" s="464">
        <v>10</v>
      </c>
      <c r="F1468" s="464"/>
      <c r="G1468" s="464">
        <f t="shared" si="34"/>
        <v>4</v>
      </c>
      <c r="H1468" s="464">
        <f t="shared" si="35"/>
        <v>2</v>
      </c>
      <c r="I1468" s="464">
        <f t="shared" si="36"/>
        <v>2</v>
      </c>
      <c r="J1468" s="464">
        <f t="shared" si="37"/>
        <v>2</v>
      </c>
    </row>
    <row r="1469" spans="1:10" s="174" customFormat="1">
      <c r="A1469" s="82">
        <v>10</v>
      </c>
      <c r="B1469" s="797" t="s">
        <v>848</v>
      </c>
      <c r="C1469" s="465" t="s">
        <v>2269</v>
      </c>
      <c r="D1469" s="464" t="s">
        <v>286</v>
      </c>
      <c r="E1469" s="464">
        <v>40</v>
      </c>
      <c r="F1469" s="464"/>
      <c r="G1469" s="464">
        <f t="shared" si="34"/>
        <v>16</v>
      </c>
      <c r="H1469" s="464">
        <f t="shared" si="35"/>
        <v>8</v>
      </c>
      <c r="I1469" s="464">
        <f t="shared" si="36"/>
        <v>8</v>
      </c>
      <c r="J1469" s="464">
        <f t="shared" si="37"/>
        <v>8</v>
      </c>
    </row>
    <row r="1470" spans="1:10" s="174" customFormat="1">
      <c r="A1470" s="82">
        <v>11</v>
      </c>
      <c r="B1470" s="797" t="s">
        <v>849</v>
      </c>
      <c r="C1470" s="465" t="s">
        <v>2270</v>
      </c>
      <c r="D1470" s="464" t="s">
        <v>286</v>
      </c>
      <c r="E1470" s="464">
        <v>15</v>
      </c>
      <c r="F1470" s="464"/>
      <c r="G1470" s="464">
        <f t="shared" si="34"/>
        <v>6</v>
      </c>
      <c r="H1470" s="464">
        <f t="shared" si="35"/>
        <v>3</v>
      </c>
      <c r="I1470" s="464">
        <f t="shared" si="36"/>
        <v>3</v>
      </c>
      <c r="J1470" s="464">
        <f t="shared" si="37"/>
        <v>3</v>
      </c>
    </row>
    <row r="1471" spans="1:10" s="174" customFormat="1">
      <c r="A1471" s="82">
        <v>12</v>
      </c>
      <c r="B1471" s="797" t="s">
        <v>850</v>
      </c>
      <c r="C1471" s="465" t="s">
        <v>2271</v>
      </c>
      <c r="D1471" s="464" t="s">
        <v>286</v>
      </c>
      <c r="E1471" s="464">
        <v>60</v>
      </c>
      <c r="F1471" s="464"/>
      <c r="G1471" s="464">
        <f t="shared" si="34"/>
        <v>24</v>
      </c>
      <c r="H1471" s="464">
        <f t="shared" si="35"/>
        <v>12</v>
      </c>
      <c r="I1471" s="464">
        <f t="shared" si="36"/>
        <v>12</v>
      </c>
      <c r="J1471" s="464">
        <f t="shared" si="37"/>
        <v>12</v>
      </c>
    </row>
    <row r="1472" spans="1:10" s="174" customFormat="1">
      <c r="A1472" s="82">
        <v>13</v>
      </c>
      <c r="B1472" s="788" t="s">
        <v>851</v>
      </c>
      <c r="C1472" s="465" t="s">
        <v>2272</v>
      </c>
      <c r="D1472" s="464" t="s">
        <v>286</v>
      </c>
      <c r="E1472" s="464">
        <v>9139</v>
      </c>
      <c r="F1472" s="464"/>
      <c r="G1472" s="464">
        <v>3667</v>
      </c>
      <c r="H1472" s="464">
        <v>1843</v>
      </c>
      <c r="I1472" s="464">
        <v>1824</v>
      </c>
      <c r="J1472" s="464">
        <v>1805</v>
      </c>
    </row>
    <row r="1473" spans="1:10" s="174" customFormat="1">
      <c r="A1473" s="82">
        <v>14</v>
      </c>
      <c r="B1473" s="788" t="s">
        <v>852</v>
      </c>
      <c r="C1473" s="465" t="s">
        <v>2273</v>
      </c>
      <c r="D1473" s="464" t="s">
        <v>286</v>
      </c>
      <c r="E1473" s="464">
        <v>9899</v>
      </c>
      <c r="F1473" s="464"/>
      <c r="G1473" s="464">
        <v>3971</v>
      </c>
      <c r="H1473" s="464">
        <v>1995</v>
      </c>
      <c r="I1473" s="464">
        <v>1976</v>
      </c>
      <c r="J1473" s="464">
        <v>1957</v>
      </c>
    </row>
    <row r="1474" spans="1:10" s="174" customFormat="1">
      <c r="A1474" s="82">
        <v>15</v>
      </c>
      <c r="B1474" s="788" t="s">
        <v>853</v>
      </c>
      <c r="C1474" s="465" t="s">
        <v>2274</v>
      </c>
      <c r="D1474" s="464" t="s">
        <v>286</v>
      </c>
      <c r="E1474" s="464">
        <v>1501</v>
      </c>
      <c r="F1474" s="464"/>
      <c r="G1474" s="464">
        <v>608</v>
      </c>
      <c r="H1474" s="464">
        <v>304</v>
      </c>
      <c r="I1474" s="464">
        <v>304</v>
      </c>
      <c r="J1474" s="464">
        <v>285</v>
      </c>
    </row>
    <row r="1475" spans="1:10" s="174" customFormat="1">
      <c r="A1475" s="82">
        <v>16</v>
      </c>
      <c r="B1475" s="788" t="s">
        <v>854</v>
      </c>
      <c r="C1475" s="465" t="s">
        <v>2275</v>
      </c>
      <c r="D1475" s="464" t="s">
        <v>286</v>
      </c>
      <c r="E1475" s="464">
        <v>190</v>
      </c>
      <c r="F1475" s="464"/>
      <c r="G1475" s="464">
        <v>57</v>
      </c>
      <c r="H1475" s="464">
        <v>57</v>
      </c>
      <c r="I1475" s="464">
        <v>38</v>
      </c>
      <c r="J1475" s="464">
        <v>38</v>
      </c>
    </row>
    <row r="1476" spans="1:10" s="174" customFormat="1">
      <c r="A1476" s="82">
        <v>17</v>
      </c>
      <c r="B1476" s="788" t="s">
        <v>855</v>
      </c>
      <c r="C1476" s="465" t="s">
        <v>2276</v>
      </c>
      <c r="D1476" s="464" t="s">
        <v>286</v>
      </c>
      <c r="E1476" s="464">
        <v>616</v>
      </c>
      <c r="F1476" s="464"/>
      <c r="G1476" s="464">
        <v>252</v>
      </c>
      <c r="H1476" s="464">
        <v>126</v>
      </c>
      <c r="I1476" s="464">
        <v>126</v>
      </c>
      <c r="J1476" s="464">
        <v>112</v>
      </c>
    </row>
    <row r="1477" spans="1:10" s="174" customFormat="1">
      <c r="A1477" s="82">
        <v>18</v>
      </c>
      <c r="B1477" s="788" t="s">
        <v>856</v>
      </c>
      <c r="C1477" s="465" t="s">
        <v>2277</v>
      </c>
      <c r="D1477" s="464" t="s">
        <v>286</v>
      </c>
      <c r="E1477" s="464">
        <v>112</v>
      </c>
      <c r="F1477" s="464"/>
      <c r="G1477" s="464">
        <v>49</v>
      </c>
      <c r="H1477" s="464">
        <v>21</v>
      </c>
      <c r="I1477" s="464">
        <v>21</v>
      </c>
      <c r="J1477" s="464">
        <v>21</v>
      </c>
    </row>
    <row r="1478" spans="1:10" s="174" customFormat="1">
      <c r="A1478" s="1026" t="s">
        <v>857</v>
      </c>
      <c r="B1478" s="1027"/>
      <c r="C1478" s="1027"/>
      <c r="D1478" s="1027"/>
      <c r="E1478" s="1027"/>
      <c r="F1478" s="1027"/>
      <c r="G1478" s="1027"/>
      <c r="H1478" s="1027"/>
      <c r="I1478" s="1027"/>
      <c r="J1478" s="1028"/>
    </row>
    <row r="1479" spans="1:10" s="174" customFormat="1">
      <c r="A1479" s="82">
        <v>19</v>
      </c>
      <c r="B1479" s="460" t="s">
        <v>858</v>
      </c>
      <c r="C1479" s="465" t="s">
        <v>2278</v>
      </c>
      <c r="D1479" s="464" t="s">
        <v>286</v>
      </c>
      <c r="E1479" s="464">
        <v>45</v>
      </c>
      <c r="F1479" s="464"/>
      <c r="G1479" s="464">
        <f t="shared" si="34"/>
        <v>18</v>
      </c>
      <c r="H1479" s="464">
        <f t="shared" ref="H1479:H1505" si="38">E1479*0.2</f>
        <v>9</v>
      </c>
      <c r="I1479" s="464">
        <f t="shared" ref="I1479:I1505" si="39">E1479*0.2</f>
        <v>9</v>
      </c>
      <c r="J1479" s="464">
        <f t="shared" ref="J1479:J1505" si="40">E1479*0.2</f>
        <v>9</v>
      </c>
    </row>
    <row r="1480" spans="1:10" s="174" customFormat="1">
      <c r="A1480" s="82">
        <v>20</v>
      </c>
      <c r="B1480" s="790" t="s">
        <v>859</v>
      </c>
      <c r="C1480" s="465" t="s">
        <v>2279</v>
      </c>
      <c r="D1480" s="464" t="s">
        <v>286</v>
      </c>
      <c r="E1480" s="464">
        <v>60</v>
      </c>
      <c r="F1480" s="464"/>
      <c r="G1480" s="464">
        <f t="shared" si="34"/>
        <v>24</v>
      </c>
      <c r="H1480" s="464">
        <f t="shared" si="38"/>
        <v>12</v>
      </c>
      <c r="I1480" s="464">
        <f t="shared" si="39"/>
        <v>12</v>
      </c>
      <c r="J1480" s="464">
        <f t="shared" si="40"/>
        <v>12</v>
      </c>
    </row>
    <row r="1481" spans="1:10" s="174" customFormat="1">
      <c r="A1481" s="82">
        <v>21</v>
      </c>
      <c r="B1481" s="460" t="s">
        <v>860</v>
      </c>
      <c r="C1481" s="51" t="s">
        <v>2280</v>
      </c>
      <c r="D1481" s="464" t="s">
        <v>286</v>
      </c>
      <c r="E1481" s="465">
        <v>300</v>
      </c>
      <c r="F1481" s="465"/>
      <c r="G1481" s="464">
        <f t="shared" si="34"/>
        <v>120</v>
      </c>
      <c r="H1481" s="464">
        <f t="shared" si="38"/>
        <v>60</v>
      </c>
      <c r="I1481" s="464">
        <f t="shared" si="39"/>
        <v>60</v>
      </c>
      <c r="J1481" s="464">
        <f t="shared" si="40"/>
        <v>60</v>
      </c>
    </row>
    <row r="1482" spans="1:10" s="174" customFormat="1">
      <c r="A1482" s="82">
        <v>22</v>
      </c>
      <c r="B1482" s="460" t="s">
        <v>860</v>
      </c>
      <c r="C1482" s="51" t="s">
        <v>2281</v>
      </c>
      <c r="D1482" s="464" t="s">
        <v>286</v>
      </c>
      <c r="E1482" s="464">
        <v>170</v>
      </c>
      <c r="F1482" s="464"/>
      <c r="G1482" s="464">
        <f t="shared" si="34"/>
        <v>68</v>
      </c>
      <c r="H1482" s="464">
        <f t="shared" si="38"/>
        <v>34</v>
      </c>
      <c r="I1482" s="464">
        <f t="shared" si="39"/>
        <v>34</v>
      </c>
      <c r="J1482" s="464">
        <f t="shared" si="40"/>
        <v>34</v>
      </c>
    </row>
    <row r="1483" spans="1:10" s="174" customFormat="1">
      <c r="A1483" s="82">
        <v>23</v>
      </c>
      <c r="B1483" s="460" t="s">
        <v>861</v>
      </c>
      <c r="C1483" s="465" t="s">
        <v>2282</v>
      </c>
      <c r="D1483" s="464" t="s">
        <v>286</v>
      </c>
      <c r="E1483" s="464">
        <v>40</v>
      </c>
      <c r="F1483" s="464"/>
      <c r="G1483" s="464">
        <f t="shared" si="34"/>
        <v>16</v>
      </c>
      <c r="H1483" s="464">
        <f t="shared" si="38"/>
        <v>8</v>
      </c>
      <c r="I1483" s="464">
        <f t="shared" si="39"/>
        <v>8</v>
      </c>
      <c r="J1483" s="464">
        <f t="shared" si="40"/>
        <v>8</v>
      </c>
    </row>
    <row r="1484" spans="1:10" s="174" customFormat="1">
      <c r="A1484" s="82">
        <v>24</v>
      </c>
      <c r="B1484" s="460" t="s">
        <v>862</v>
      </c>
      <c r="C1484" s="465" t="s">
        <v>2283</v>
      </c>
      <c r="D1484" s="464" t="s">
        <v>286</v>
      </c>
      <c r="E1484" s="464">
        <v>40</v>
      </c>
      <c r="F1484" s="464"/>
      <c r="G1484" s="464">
        <f t="shared" si="34"/>
        <v>16</v>
      </c>
      <c r="H1484" s="464">
        <f t="shared" si="38"/>
        <v>8</v>
      </c>
      <c r="I1484" s="464">
        <f t="shared" si="39"/>
        <v>8</v>
      </c>
      <c r="J1484" s="464">
        <f t="shared" si="40"/>
        <v>8</v>
      </c>
    </row>
    <row r="1485" spans="1:10" s="174" customFormat="1">
      <c r="A1485" s="82">
        <v>25</v>
      </c>
      <c r="B1485" s="460" t="s">
        <v>863</v>
      </c>
      <c r="C1485" s="465" t="s">
        <v>2284</v>
      </c>
      <c r="D1485" s="464" t="s">
        <v>286</v>
      </c>
      <c r="E1485" s="464">
        <v>70</v>
      </c>
      <c r="F1485" s="464"/>
      <c r="G1485" s="464">
        <f t="shared" si="34"/>
        <v>28</v>
      </c>
      <c r="H1485" s="464">
        <f t="shared" si="38"/>
        <v>14</v>
      </c>
      <c r="I1485" s="464">
        <f t="shared" si="39"/>
        <v>14</v>
      </c>
      <c r="J1485" s="464">
        <f t="shared" si="40"/>
        <v>14</v>
      </c>
    </row>
    <row r="1486" spans="1:10" s="174" customFormat="1">
      <c r="A1486" s="82">
        <v>26</v>
      </c>
      <c r="B1486" s="460" t="s">
        <v>864</v>
      </c>
      <c r="C1486" s="465" t="s">
        <v>2285</v>
      </c>
      <c r="D1486" s="464" t="s">
        <v>286</v>
      </c>
      <c r="E1486" s="464">
        <v>30</v>
      </c>
      <c r="F1486" s="464"/>
      <c r="G1486" s="464">
        <f t="shared" si="34"/>
        <v>12</v>
      </c>
      <c r="H1486" s="464">
        <f t="shared" si="38"/>
        <v>6</v>
      </c>
      <c r="I1486" s="464">
        <f t="shared" si="39"/>
        <v>6</v>
      </c>
      <c r="J1486" s="464">
        <f t="shared" si="40"/>
        <v>6</v>
      </c>
    </row>
    <row r="1487" spans="1:10" s="174" customFormat="1">
      <c r="A1487" s="82">
        <v>27</v>
      </c>
      <c r="B1487" s="460" t="s">
        <v>865</v>
      </c>
      <c r="C1487" s="465" t="s">
        <v>2286</v>
      </c>
      <c r="D1487" s="464" t="s">
        <v>286</v>
      </c>
      <c r="E1487" s="464">
        <v>360</v>
      </c>
      <c r="F1487" s="464"/>
      <c r="G1487" s="464">
        <f t="shared" si="34"/>
        <v>144</v>
      </c>
      <c r="H1487" s="464">
        <f t="shared" si="38"/>
        <v>72</v>
      </c>
      <c r="I1487" s="464">
        <f t="shared" si="39"/>
        <v>72</v>
      </c>
      <c r="J1487" s="464">
        <f t="shared" si="40"/>
        <v>72</v>
      </c>
    </row>
    <row r="1488" spans="1:10" s="174" customFormat="1">
      <c r="A1488" s="82">
        <v>28</v>
      </c>
      <c r="B1488" s="460" t="s">
        <v>866</v>
      </c>
      <c r="C1488" s="465" t="s">
        <v>2287</v>
      </c>
      <c r="D1488" s="464" t="s">
        <v>286</v>
      </c>
      <c r="E1488" s="464">
        <v>180</v>
      </c>
      <c r="F1488" s="464"/>
      <c r="G1488" s="464">
        <f t="shared" si="34"/>
        <v>72</v>
      </c>
      <c r="H1488" s="464">
        <f t="shared" si="38"/>
        <v>36</v>
      </c>
      <c r="I1488" s="464">
        <f t="shared" si="39"/>
        <v>36</v>
      </c>
      <c r="J1488" s="464">
        <f t="shared" si="40"/>
        <v>36</v>
      </c>
    </row>
    <row r="1489" spans="1:10" s="174" customFormat="1">
      <c r="A1489" s="82">
        <v>29</v>
      </c>
      <c r="B1489" s="460" t="s">
        <v>867</v>
      </c>
      <c r="C1489" s="51" t="s">
        <v>2288</v>
      </c>
      <c r="D1489" s="464" t="s">
        <v>286</v>
      </c>
      <c r="E1489" s="464">
        <v>70</v>
      </c>
      <c r="F1489" s="464"/>
      <c r="G1489" s="464">
        <f t="shared" si="34"/>
        <v>28</v>
      </c>
      <c r="H1489" s="464">
        <f t="shared" si="38"/>
        <v>14</v>
      </c>
      <c r="I1489" s="464">
        <f t="shared" si="39"/>
        <v>14</v>
      </c>
      <c r="J1489" s="464">
        <f t="shared" si="40"/>
        <v>14</v>
      </c>
    </row>
    <row r="1490" spans="1:10" s="174" customFormat="1">
      <c r="A1490" s="82">
        <v>30</v>
      </c>
      <c r="B1490" s="460" t="s">
        <v>868</v>
      </c>
      <c r="C1490" s="465" t="s">
        <v>2289</v>
      </c>
      <c r="D1490" s="464" t="s">
        <v>286</v>
      </c>
      <c r="E1490" s="464">
        <v>30</v>
      </c>
      <c r="F1490" s="464"/>
      <c r="G1490" s="464">
        <f t="shared" si="34"/>
        <v>12</v>
      </c>
      <c r="H1490" s="464">
        <f t="shared" si="38"/>
        <v>6</v>
      </c>
      <c r="I1490" s="464">
        <f t="shared" si="39"/>
        <v>6</v>
      </c>
      <c r="J1490" s="464">
        <f t="shared" si="40"/>
        <v>6</v>
      </c>
    </row>
    <row r="1491" spans="1:10" s="174" customFormat="1">
      <c r="A1491" s="82">
        <v>31</v>
      </c>
      <c r="B1491" s="460" t="s">
        <v>869</v>
      </c>
      <c r="C1491" s="465" t="s">
        <v>2290</v>
      </c>
      <c r="D1491" s="464" t="s">
        <v>286</v>
      </c>
      <c r="E1491" s="464">
        <v>40</v>
      </c>
      <c r="F1491" s="464"/>
      <c r="G1491" s="464">
        <f t="shared" si="34"/>
        <v>16</v>
      </c>
      <c r="H1491" s="464">
        <f t="shared" si="38"/>
        <v>8</v>
      </c>
      <c r="I1491" s="464">
        <f t="shared" si="39"/>
        <v>8</v>
      </c>
      <c r="J1491" s="464">
        <f t="shared" si="40"/>
        <v>8</v>
      </c>
    </row>
    <row r="1492" spans="1:10" s="174" customFormat="1">
      <c r="A1492" s="82">
        <v>32</v>
      </c>
      <c r="B1492" s="460" t="s">
        <v>870</v>
      </c>
      <c r="C1492" s="465" t="s">
        <v>2291</v>
      </c>
      <c r="D1492" s="464" t="s">
        <v>286</v>
      </c>
      <c r="E1492" s="464">
        <v>40</v>
      </c>
      <c r="F1492" s="464"/>
      <c r="G1492" s="464">
        <f t="shared" si="34"/>
        <v>16</v>
      </c>
      <c r="H1492" s="464">
        <f t="shared" si="38"/>
        <v>8</v>
      </c>
      <c r="I1492" s="464">
        <f t="shared" si="39"/>
        <v>8</v>
      </c>
      <c r="J1492" s="464">
        <f t="shared" si="40"/>
        <v>8</v>
      </c>
    </row>
    <row r="1493" spans="1:10" s="174" customFormat="1">
      <c r="A1493" s="82">
        <v>33</v>
      </c>
      <c r="B1493" s="460" t="s">
        <v>871</v>
      </c>
      <c r="C1493" s="465" t="s">
        <v>2292</v>
      </c>
      <c r="D1493" s="464" t="s">
        <v>286</v>
      </c>
      <c r="E1493" s="464">
        <v>300</v>
      </c>
      <c r="F1493" s="464"/>
      <c r="G1493" s="464">
        <f t="shared" si="34"/>
        <v>120</v>
      </c>
      <c r="H1493" s="464">
        <f t="shared" si="38"/>
        <v>60</v>
      </c>
      <c r="I1493" s="464">
        <f t="shared" si="39"/>
        <v>60</v>
      </c>
      <c r="J1493" s="464">
        <f t="shared" si="40"/>
        <v>60</v>
      </c>
    </row>
    <row r="1494" spans="1:10" s="174" customFormat="1">
      <c r="A1494" s="82">
        <v>34</v>
      </c>
      <c r="B1494" s="460" t="s">
        <v>872</v>
      </c>
      <c r="C1494" s="465" t="s">
        <v>2293</v>
      </c>
      <c r="D1494" s="464" t="s">
        <v>286</v>
      </c>
      <c r="E1494" s="464">
        <v>100</v>
      </c>
      <c r="F1494" s="464"/>
      <c r="G1494" s="464">
        <f t="shared" si="34"/>
        <v>40</v>
      </c>
      <c r="H1494" s="464">
        <f t="shared" si="38"/>
        <v>20</v>
      </c>
      <c r="I1494" s="464">
        <f t="shared" si="39"/>
        <v>20</v>
      </c>
      <c r="J1494" s="464">
        <f t="shared" si="40"/>
        <v>20</v>
      </c>
    </row>
    <row r="1495" spans="1:10" s="174" customFormat="1">
      <c r="A1495" s="82">
        <v>35</v>
      </c>
      <c r="B1495" s="460" t="s">
        <v>873</v>
      </c>
      <c r="C1495" s="465" t="s">
        <v>2294</v>
      </c>
      <c r="D1495" s="464" t="s">
        <v>286</v>
      </c>
      <c r="E1495" s="464">
        <v>150</v>
      </c>
      <c r="F1495" s="464"/>
      <c r="G1495" s="464">
        <f t="shared" si="34"/>
        <v>60</v>
      </c>
      <c r="H1495" s="464">
        <f t="shared" si="38"/>
        <v>30</v>
      </c>
      <c r="I1495" s="464">
        <f t="shared" si="39"/>
        <v>30</v>
      </c>
      <c r="J1495" s="464">
        <f t="shared" si="40"/>
        <v>30</v>
      </c>
    </row>
    <row r="1496" spans="1:10" s="174" customFormat="1">
      <c r="A1496" s="82">
        <v>36</v>
      </c>
      <c r="B1496" s="460" t="s">
        <v>874</v>
      </c>
      <c r="C1496" s="465" t="s">
        <v>2295</v>
      </c>
      <c r="D1496" s="464" t="s">
        <v>286</v>
      </c>
      <c r="E1496" s="464">
        <v>120</v>
      </c>
      <c r="F1496" s="464"/>
      <c r="G1496" s="464">
        <f t="shared" si="34"/>
        <v>48</v>
      </c>
      <c r="H1496" s="464">
        <f t="shared" si="38"/>
        <v>24</v>
      </c>
      <c r="I1496" s="464">
        <f t="shared" si="39"/>
        <v>24</v>
      </c>
      <c r="J1496" s="464">
        <f t="shared" si="40"/>
        <v>24</v>
      </c>
    </row>
    <row r="1497" spans="1:10">
      <c r="A1497" s="82">
        <v>37</v>
      </c>
      <c r="B1497" s="460" t="s">
        <v>875</v>
      </c>
      <c r="C1497" s="465" t="s">
        <v>2296</v>
      </c>
      <c r="D1497" s="464" t="s">
        <v>286</v>
      </c>
      <c r="E1497" s="464">
        <v>50</v>
      </c>
      <c r="F1497" s="464"/>
      <c r="G1497" s="464">
        <f t="shared" si="34"/>
        <v>20</v>
      </c>
      <c r="H1497" s="464">
        <f t="shared" si="38"/>
        <v>10</v>
      </c>
      <c r="I1497" s="464">
        <f t="shared" si="39"/>
        <v>10</v>
      </c>
      <c r="J1497" s="464">
        <f t="shared" si="40"/>
        <v>10</v>
      </c>
    </row>
    <row r="1498" spans="1:10">
      <c r="A1498" s="82">
        <v>38</v>
      </c>
      <c r="B1498" s="460" t="s">
        <v>876</v>
      </c>
      <c r="C1498" s="465" t="s">
        <v>2297</v>
      </c>
      <c r="D1498" s="464" t="s">
        <v>286</v>
      </c>
      <c r="E1498" s="464">
        <v>80</v>
      </c>
      <c r="F1498" s="464"/>
      <c r="G1498" s="464">
        <f t="shared" si="34"/>
        <v>32</v>
      </c>
      <c r="H1498" s="464">
        <f t="shared" si="38"/>
        <v>16</v>
      </c>
      <c r="I1498" s="464">
        <f t="shared" si="39"/>
        <v>16</v>
      </c>
      <c r="J1498" s="464">
        <f t="shared" si="40"/>
        <v>16</v>
      </c>
    </row>
    <row r="1499" spans="1:10">
      <c r="A1499" s="82">
        <v>39</v>
      </c>
      <c r="B1499" s="460" t="s">
        <v>877</v>
      </c>
      <c r="C1499" s="51" t="s">
        <v>2298</v>
      </c>
      <c r="D1499" s="464" t="s">
        <v>286</v>
      </c>
      <c r="E1499" s="464">
        <v>20</v>
      </c>
      <c r="F1499" s="464"/>
      <c r="G1499" s="464">
        <f t="shared" si="34"/>
        <v>8</v>
      </c>
      <c r="H1499" s="464">
        <f t="shared" si="38"/>
        <v>4</v>
      </c>
      <c r="I1499" s="464">
        <f t="shared" si="39"/>
        <v>4</v>
      </c>
      <c r="J1499" s="464">
        <f t="shared" si="40"/>
        <v>4</v>
      </c>
    </row>
    <row r="1500" spans="1:10" s="174" customFormat="1">
      <c r="A1500" s="82">
        <v>41</v>
      </c>
      <c r="B1500" s="788" t="s">
        <v>878</v>
      </c>
      <c r="C1500" s="51" t="s">
        <v>2299</v>
      </c>
      <c r="D1500" s="464" t="s">
        <v>286</v>
      </c>
      <c r="E1500" s="464">
        <v>400</v>
      </c>
      <c r="F1500" s="464"/>
      <c r="G1500" s="464">
        <f t="shared" si="34"/>
        <v>160</v>
      </c>
      <c r="H1500" s="464">
        <f t="shared" si="38"/>
        <v>80</v>
      </c>
      <c r="I1500" s="464">
        <f t="shared" si="39"/>
        <v>80</v>
      </c>
      <c r="J1500" s="464">
        <f t="shared" si="40"/>
        <v>80</v>
      </c>
    </row>
    <row r="1501" spans="1:10" s="174" customFormat="1">
      <c r="A1501" s="82">
        <v>42</v>
      </c>
      <c r="B1501" s="786" t="s">
        <v>879</v>
      </c>
      <c r="C1501" s="465" t="s">
        <v>2300</v>
      </c>
      <c r="D1501" s="464" t="s">
        <v>286</v>
      </c>
      <c r="E1501" s="464">
        <v>4500</v>
      </c>
      <c r="F1501" s="464"/>
      <c r="G1501" s="464">
        <f t="shared" si="34"/>
        <v>1800</v>
      </c>
      <c r="H1501" s="464">
        <f t="shared" si="38"/>
        <v>900</v>
      </c>
      <c r="I1501" s="464">
        <f t="shared" si="39"/>
        <v>900</v>
      </c>
      <c r="J1501" s="464">
        <f t="shared" si="40"/>
        <v>900</v>
      </c>
    </row>
    <row r="1502" spans="1:10">
      <c r="A1502" s="82">
        <v>43</v>
      </c>
      <c r="B1502" s="786" t="s">
        <v>880</v>
      </c>
      <c r="C1502" s="99" t="s">
        <v>2301</v>
      </c>
      <c r="D1502" s="464" t="s">
        <v>286</v>
      </c>
      <c r="E1502" s="464">
        <v>1800</v>
      </c>
      <c r="F1502" s="464"/>
      <c r="G1502" s="464">
        <f t="shared" si="34"/>
        <v>720</v>
      </c>
      <c r="H1502" s="464">
        <f t="shared" si="38"/>
        <v>360</v>
      </c>
      <c r="I1502" s="464">
        <f t="shared" si="39"/>
        <v>360</v>
      </c>
      <c r="J1502" s="464">
        <f t="shared" si="40"/>
        <v>360</v>
      </c>
    </row>
    <row r="1503" spans="1:10" ht="30">
      <c r="A1503" s="82">
        <v>44</v>
      </c>
      <c r="B1503" s="786" t="s">
        <v>881</v>
      </c>
      <c r="C1503" s="465" t="s">
        <v>2302</v>
      </c>
      <c r="D1503" s="464" t="s">
        <v>286</v>
      </c>
      <c r="E1503" s="464">
        <v>350</v>
      </c>
      <c r="F1503" s="464"/>
      <c r="G1503" s="464">
        <f t="shared" si="34"/>
        <v>140</v>
      </c>
      <c r="H1503" s="464">
        <f t="shared" si="38"/>
        <v>70</v>
      </c>
      <c r="I1503" s="464">
        <f t="shared" si="39"/>
        <v>70</v>
      </c>
      <c r="J1503" s="464">
        <f t="shared" si="40"/>
        <v>70</v>
      </c>
    </row>
    <row r="1504" spans="1:10">
      <c r="A1504" s="82">
        <v>45</v>
      </c>
      <c r="B1504" s="786" t="s">
        <v>882</v>
      </c>
      <c r="C1504" s="465" t="s">
        <v>2303</v>
      </c>
      <c r="D1504" s="464" t="s">
        <v>286</v>
      </c>
      <c r="E1504" s="464">
        <v>350</v>
      </c>
      <c r="F1504" s="464"/>
      <c r="G1504" s="464">
        <f t="shared" si="34"/>
        <v>140</v>
      </c>
      <c r="H1504" s="464">
        <f t="shared" si="38"/>
        <v>70</v>
      </c>
      <c r="I1504" s="464">
        <f t="shared" si="39"/>
        <v>70</v>
      </c>
      <c r="J1504" s="464">
        <f t="shared" si="40"/>
        <v>70</v>
      </c>
    </row>
    <row r="1505" spans="1:10">
      <c r="A1505" s="82">
        <v>46</v>
      </c>
      <c r="B1505" s="788" t="s">
        <v>883</v>
      </c>
      <c r="C1505" s="465" t="s">
        <v>2304</v>
      </c>
      <c r="D1505" s="464" t="s">
        <v>286</v>
      </c>
      <c r="E1505" s="464">
        <v>40</v>
      </c>
      <c r="F1505" s="464"/>
      <c r="G1505" s="464">
        <f t="shared" si="34"/>
        <v>16</v>
      </c>
      <c r="H1505" s="464">
        <f t="shared" si="38"/>
        <v>8</v>
      </c>
      <c r="I1505" s="464">
        <f t="shared" si="39"/>
        <v>8</v>
      </c>
      <c r="J1505" s="464">
        <f t="shared" si="40"/>
        <v>8</v>
      </c>
    </row>
    <row r="1506" spans="1:10">
      <c r="A1506" s="1026" t="s">
        <v>884</v>
      </c>
      <c r="B1506" s="1027"/>
      <c r="C1506" s="1027"/>
      <c r="D1506" s="1027"/>
      <c r="E1506" s="1027"/>
      <c r="F1506" s="1027"/>
      <c r="G1506" s="1027"/>
      <c r="H1506" s="1027"/>
      <c r="I1506" s="1027"/>
      <c r="J1506" s="1028"/>
    </row>
    <row r="1507" spans="1:10">
      <c r="A1507" s="82">
        <v>47</v>
      </c>
      <c r="B1507" s="460" t="s">
        <v>885</v>
      </c>
      <c r="C1507" s="465" t="s">
        <v>2305</v>
      </c>
      <c r="D1507" s="464" t="s">
        <v>286</v>
      </c>
      <c r="E1507" s="464">
        <v>123</v>
      </c>
      <c r="F1507" s="464"/>
      <c r="G1507" s="464">
        <v>50</v>
      </c>
      <c r="H1507" s="464">
        <v>25</v>
      </c>
      <c r="I1507" s="464">
        <v>24</v>
      </c>
      <c r="J1507" s="464">
        <v>24</v>
      </c>
    </row>
    <row r="1508" spans="1:10">
      <c r="A1508" s="82">
        <v>48</v>
      </c>
      <c r="B1508" s="790" t="s">
        <v>859</v>
      </c>
      <c r="C1508" s="465" t="s">
        <v>2306</v>
      </c>
      <c r="D1508" s="464" t="s">
        <v>286</v>
      </c>
      <c r="E1508" s="464">
        <v>130</v>
      </c>
      <c r="F1508" s="464"/>
      <c r="G1508" s="464">
        <f t="shared" si="34"/>
        <v>52</v>
      </c>
      <c r="H1508" s="464">
        <f t="shared" ref="H1508:H1536" si="41">E1508*0.2</f>
        <v>26</v>
      </c>
      <c r="I1508" s="464">
        <f t="shared" ref="I1508:I1536" si="42">E1508*0.2</f>
        <v>26</v>
      </c>
      <c r="J1508" s="464">
        <f t="shared" ref="J1508:J1536" si="43">E1508*0.2</f>
        <v>26</v>
      </c>
    </row>
    <row r="1509" spans="1:10">
      <c r="A1509" s="82">
        <v>49</v>
      </c>
      <c r="B1509" s="460" t="s">
        <v>860</v>
      </c>
      <c r="C1509" s="51" t="s">
        <v>2307</v>
      </c>
      <c r="D1509" s="464" t="s">
        <v>286</v>
      </c>
      <c r="E1509" s="464">
        <v>620</v>
      </c>
      <c r="F1509" s="464"/>
      <c r="G1509" s="464">
        <f t="shared" si="34"/>
        <v>248</v>
      </c>
      <c r="H1509" s="464">
        <f t="shared" si="41"/>
        <v>124</v>
      </c>
      <c r="I1509" s="464">
        <f t="shared" si="42"/>
        <v>124</v>
      </c>
      <c r="J1509" s="464">
        <f t="shared" si="43"/>
        <v>124</v>
      </c>
    </row>
    <row r="1510" spans="1:10">
      <c r="A1510" s="82">
        <v>50</v>
      </c>
      <c r="B1510" s="460" t="s">
        <v>860</v>
      </c>
      <c r="C1510" s="51" t="s">
        <v>2308</v>
      </c>
      <c r="D1510" s="464" t="s">
        <v>286</v>
      </c>
      <c r="E1510" s="464">
        <v>300</v>
      </c>
      <c r="F1510" s="464"/>
      <c r="G1510" s="464">
        <f t="shared" si="34"/>
        <v>120</v>
      </c>
      <c r="H1510" s="464">
        <f t="shared" si="41"/>
        <v>60</v>
      </c>
      <c r="I1510" s="464">
        <f t="shared" si="42"/>
        <v>60</v>
      </c>
      <c r="J1510" s="464">
        <f t="shared" si="43"/>
        <v>60</v>
      </c>
    </row>
    <row r="1511" spans="1:10">
      <c r="A1511" s="82">
        <v>51</v>
      </c>
      <c r="B1511" s="460" t="s">
        <v>861</v>
      </c>
      <c r="C1511" s="465" t="s">
        <v>2309</v>
      </c>
      <c r="D1511" s="464" t="s">
        <v>286</v>
      </c>
      <c r="E1511" s="464">
        <v>80</v>
      </c>
      <c r="F1511" s="464"/>
      <c r="G1511" s="464">
        <f t="shared" si="34"/>
        <v>32</v>
      </c>
      <c r="H1511" s="464">
        <f t="shared" si="41"/>
        <v>16</v>
      </c>
      <c r="I1511" s="464">
        <f t="shared" si="42"/>
        <v>16</v>
      </c>
      <c r="J1511" s="464">
        <f t="shared" si="43"/>
        <v>16</v>
      </c>
    </row>
    <row r="1512" spans="1:10">
      <c r="A1512" s="82">
        <v>52</v>
      </c>
      <c r="B1512" s="460" t="s">
        <v>862</v>
      </c>
      <c r="C1512" s="465" t="s">
        <v>2310</v>
      </c>
      <c r="D1512" s="464" t="s">
        <v>286</v>
      </c>
      <c r="E1512" s="464">
        <v>120</v>
      </c>
      <c r="F1512" s="464"/>
      <c r="G1512" s="464">
        <f t="shared" si="34"/>
        <v>48</v>
      </c>
      <c r="H1512" s="464">
        <f t="shared" si="41"/>
        <v>24</v>
      </c>
      <c r="I1512" s="464">
        <f t="shared" si="42"/>
        <v>24</v>
      </c>
      <c r="J1512" s="464">
        <f t="shared" si="43"/>
        <v>24</v>
      </c>
    </row>
    <row r="1513" spans="1:10">
      <c r="A1513" s="82">
        <v>53</v>
      </c>
      <c r="B1513" s="460" t="s">
        <v>863</v>
      </c>
      <c r="C1513" s="465" t="s">
        <v>2311</v>
      </c>
      <c r="D1513" s="464" t="s">
        <v>286</v>
      </c>
      <c r="E1513" s="464">
        <v>250</v>
      </c>
      <c r="F1513" s="464"/>
      <c r="G1513" s="464">
        <f t="shared" si="34"/>
        <v>100</v>
      </c>
      <c r="H1513" s="464">
        <f t="shared" si="41"/>
        <v>50</v>
      </c>
      <c r="I1513" s="464">
        <f t="shared" si="42"/>
        <v>50</v>
      </c>
      <c r="J1513" s="464">
        <f t="shared" si="43"/>
        <v>50</v>
      </c>
    </row>
    <row r="1514" spans="1:10">
      <c r="A1514" s="82">
        <v>54</v>
      </c>
      <c r="B1514" s="460" t="s">
        <v>864</v>
      </c>
      <c r="C1514" s="465" t="s">
        <v>2312</v>
      </c>
      <c r="D1514" s="464" t="s">
        <v>286</v>
      </c>
      <c r="E1514" s="464">
        <v>65</v>
      </c>
      <c r="F1514" s="464"/>
      <c r="G1514" s="464">
        <f t="shared" si="34"/>
        <v>26</v>
      </c>
      <c r="H1514" s="464">
        <f t="shared" si="41"/>
        <v>13</v>
      </c>
      <c r="I1514" s="464">
        <f t="shared" si="42"/>
        <v>13</v>
      </c>
      <c r="J1514" s="464">
        <f t="shared" si="43"/>
        <v>13</v>
      </c>
    </row>
    <row r="1515" spans="1:10">
      <c r="A1515" s="82">
        <v>55</v>
      </c>
      <c r="B1515" s="460" t="s">
        <v>865</v>
      </c>
      <c r="C1515" s="465" t="s">
        <v>2313</v>
      </c>
      <c r="D1515" s="464" t="s">
        <v>286</v>
      </c>
      <c r="E1515" s="464">
        <v>1400</v>
      </c>
      <c r="F1515" s="464"/>
      <c r="G1515" s="464">
        <f t="shared" si="34"/>
        <v>560</v>
      </c>
      <c r="H1515" s="464">
        <f t="shared" si="41"/>
        <v>280</v>
      </c>
      <c r="I1515" s="464">
        <f t="shared" si="42"/>
        <v>280</v>
      </c>
      <c r="J1515" s="464">
        <f t="shared" si="43"/>
        <v>280</v>
      </c>
    </row>
    <row r="1516" spans="1:10">
      <c r="A1516" s="82">
        <v>56</v>
      </c>
      <c r="B1516" s="460" t="s">
        <v>866</v>
      </c>
      <c r="C1516" s="465" t="s">
        <v>2314</v>
      </c>
      <c r="D1516" s="464" t="s">
        <v>286</v>
      </c>
      <c r="E1516" s="464">
        <v>700</v>
      </c>
      <c r="F1516" s="464"/>
      <c r="G1516" s="464">
        <f t="shared" si="34"/>
        <v>280</v>
      </c>
      <c r="H1516" s="464">
        <f t="shared" si="41"/>
        <v>140</v>
      </c>
      <c r="I1516" s="464">
        <f t="shared" si="42"/>
        <v>140</v>
      </c>
      <c r="J1516" s="464">
        <f t="shared" si="43"/>
        <v>140</v>
      </c>
    </row>
    <row r="1517" spans="1:10">
      <c r="A1517" s="82">
        <v>57</v>
      </c>
      <c r="B1517" s="460" t="s">
        <v>867</v>
      </c>
      <c r="C1517" s="51" t="s">
        <v>2315</v>
      </c>
      <c r="D1517" s="464" t="s">
        <v>286</v>
      </c>
      <c r="E1517" s="464">
        <v>246</v>
      </c>
      <c r="F1517" s="464"/>
      <c r="G1517" s="464">
        <v>100</v>
      </c>
      <c r="H1517" s="464">
        <v>50</v>
      </c>
      <c r="I1517" s="464">
        <v>48</v>
      </c>
      <c r="J1517" s="464">
        <v>48</v>
      </c>
    </row>
    <row r="1518" spans="1:10">
      <c r="A1518" s="82">
        <v>58</v>
      </c>
      <c r="B1518" s="460" t="s">
        <v>868</v>
      </c>
      <c r="C1518" s="465" t="s">
        <v>2316</v>
      </c>
      <c r="D1518" s="464" t="s">
        <v>286</v>
      </c>
      <c r="E1518" s="464">
        <v>65</v>
      </c>
      <c r="F1518" s="464"/>
      <c r="G1518" s="464">
        <f t="shared" si="34"/>
        <v>26</v>
      </c>
      <c r="H1518" s="464">
        <f t="shared" si="41"/>
        <v>13</v>
      </c>
      <c r="I1518" s="464">
        <f t="shared" si="42"/>
        <v>13</v>
      </c>
      <c r="J1518" s="464">
        <f t="shared" si="43"/>
        <v>13</v>
      </c>
    </row>
    <row r="1519" spans="1:10">
      <c r="A1519" s="82">
        <v>59</v>
      </c>
      <c r="B1519" s="460" t="s">
        <v>869</v>
      </c>
      <c r="C1519" s="465" t="s">
        <v>2317</v>
      </c>
      <c r="D1519" s="464" t="s">
        <v>286</v>
      </c>
      <c r="E1519" s="464">
        <v>120</v>
      </c>
      <c r="F1519" s="464"/>
      <c r="G1519" s="464">
        <f t="shared" si="34"/>
        <v>48</v>
      </c>
      <c r="H1519" s="464">
        <f t="shared" si="41"/>
        <v>24</v>
      </c>
      <c r="I1519" s="464">
        <f t="shared" si="42"/>
        <v>24</v>
      </c>
      <c r="J1519" s="464">
        <f t="shared" si="43"/>
        <v>24</v>
      </c>
    </row>
    <row r="1520" spans="1:10">
      <c r="A1520" s="82">
        <v>60</v>
      </c>
      <c r="B1520" s="460" t="s">
        <v>886</v>
      </c>
      <c r="C1520" s="465" t="s">
        <v>2318</v>
      </c>
      <c r="D1520" s="464" t="s">
        <v>286</v>
      </c>
      <c r="E1520" s="464">
        <v>200</v>
      </c>
      <c r="F1520" s="464"/>
      <c r="G1520" s="464">
        <f t="shared" si="34"/>
        <v>80</v>
      </c>
      <c r="H1520" s="464">
        <f t="shared" si="41"/>
        <v>40</v>
      </c>
      <c r="I1520" s="464">
        <f t="shared" si="42"/>
        <v>40</v>
      </c>
      <c r="J1520" s="464">
        <f t="shared" si="43"/>
        <v>40</v>
      </c>
    </row>
    <row r="1521" spans="1:10">
      <c r="A1521" s="82">
        <v>61</v>
      </c>
      <c r="B1521" s="460" t="s">
        <v>887</v>
      </c>
      <c r="C1521" s="465" t="s">
        <v>2319</v>
      </c>
      <c r="D1521" s="464" t="s">
        <v>286</v>
      </c>
      <c r="E1521" s="464">
        <v>1200</v>
      </c>
      <c r="F1521" s="464"/>
      <c r="G1521" s="464">
        <f t="shared" si="34"/>
        <v>480</v>
      </c>
      <c r="H1521" s="464">
        <f t="shared" si="41"/>
        <v>240</v>
      </c>
      <c r="I1521" s="464">
        <f t="shared" si="42"/>
        <v>240</v>
      </c>
      <c r="J1521" s="464">
        <f t="shared" si="43"/>
        <v>240</v>
      </c>
    </row>
    <row r="1522" spans="1:10">
      <c r="A1522" s="82">
        <v>62</v>
      </c>
      <c r="B1522" s="460" t="s">
        <v>870</v>
      </c>
      <c r="C1522" s="465" t="s">
        <v>2320</v>
      </c>
      <c r="D1522" s="464" t="s">
        <v>286</v>
      </c>
      <c r="E1522" s="464">
        <v>120</v>
      </c>
      <c r="F1522" s="464"/>
      <c r="G1522" s="464">
        <f t="shared" si="34"/>
        <v>48</v>
      </c>
      <c r="H1522" s="464">
        <f t="shared" si="41"/>
        <v>24</v>
      </c>
      <c r="I1522" s="464">
        <f t="shared" si="42"/>
        <v>24</v>
      </c>
      <c r="J1522" s="464">
        <f t="shared" si="43"/>
        <v>24</v>
      </c>
    </row>
    <row r="1523" spans="1:10">
      <c r="A1523" s="82">
        <v>63</v>
      </c>
      <c r="B1523" s="460" t="s">
        <v>871</v>
      </c>
      <c r="C1523" s="465" t="s">
        <v>2321</v>
      </c>
      <c r="D1523" s="464" t="s">
        <v>286</v>
      </c>
      <c r="E1523" s="464">
        <v>987</v>
      </c>
      <c r="F1523" s="464"/>
      <c r="G1523" s="464">
        <v>395</v>
      </c>
      <c r="H1523" s="464">
        <v>200</v>
      </c>
      <c r="I1523" s="464">
        <v>196</v>
      </c>
      <c r="J1523" s="464">
        <v>196</v>
      </c>
    </row>
    <row r="1524" spans="1:10">
      <c r="A1524" s="82">
        <v>64</v>
      </c>
      <c r="B1524" s="460" t="s">
        <v>872</v>
      </c>
      <c r="C1524" s="465" t="s">
        <v>2322</v>
      </c>
      <c r="D1524" s="464" t="s">
        <v>286</v>
      </c>
      <c r="E1524" s="464">
        <v>320</v>
      </c>
      <c r="F1524" s="464"/>
      <c r="G1524" s="464">
        <f t="shared" si="34"/>
        <v>128</v>
      </c>
      <c r="H1524" s="464">
        <f t="shared" si="41"/>
        <v>64</v>
      </c>
      <c r="I1524" s="464">
        <f t="shared" si="42"/>
        <v>64</v>
      </c>
      <c r="J1524" s="464">
        <f t="shared" si="43"/>
        <v>64</v>
      </c>
    </row>
    <row r="1525" spans="1:10">
      <c r="A1525" s="82">
        <v>65</v>
      </c>
      <c r="B1525" s="460" t="s">
        <v>873</v>
      </c>
      <c r="C1525" s="465" t="s">
        <v>2323</v>
      </c>
      <c r="D1525" s="464" t="s">
        <v>286</v>
      </c>
      <c r="E1525" s="464">
        <v>600</v>
      </c>
      <c r="F1525" s="464"/>
      <c r="G1525" s="464">
        <f t="shared" ref="G1525:G1549" si="44">E1525*0.4</f>
        <v>240</v>
      </c>
      <c r="H1525" s="464">
        <f t="shared" si="41"/>
        <v>120</v>
      </c>
      <c r="I1525" s="464">
        <f t="shared" si="42"/>
        <v>120</v>
      </c>
      <c r="J1525" s="464">
        <f t="shared" si="43"/>
        <v>120</v>
      </c>
    </row>
    <row r="1526" spans="1:10">
      <c r="A1526" s="82">
        <v>66</v>
      </c>
      <c r="B1526" s="460" t="s">
        <v>874</v>
      </c>
      <c r="C1526" s="465" t="s">
        <v>2324</v>
      </c>
      <c r="D1526" s="464" t="s">
        <v>286</v>
      </c>
      <c r="E1526" s="464">
        <v>220</v>
      </c>
      <c r="F1526" s="464"/>
      <c r="G1526" s="464">
        <f t="shared" si="44"/>
        <v>88</v>
      </c>
      <c r="H1526" s="464">
        <f t="shared" si="41"/>
        <v>44</v>
      </c>
      <c r="I1526" s="464">
        <f t="shared" si="42"/>
        <v>44</v>
      </c>
      <c r="J1526" s="464">
        <f t="shared" si="43"/>
        <v>44</v>
      </c>
    </row>
    <row r="1527" spans="1:10">
      <c r="A1527" s="82">
        <v>67</v>
      </c>
      <c r="B1527" s="460" t="s">
        <v>875</v>
      </c>
      <c r="C1527" s="465" t="s">
        <v>2325</v>
      </c>
      <c r="D1527" s="464" t="s">
        <v>286</v>
      </c>
      <c r="E1527" s="464">
        <v>120</v>
      </c>
      <c r="F1527" s="464"/>
      <c r="G1527" s="464">
        <f t="shared" si="44"/>
        <v>48</v>
      </c>
      <c r="H1527" s="464">
        <f t="shared" si="41"/>
        <v>24</v>
      </c>
      <c r="I1527" s="464">
        <f t="shared" si="42"/>
        <v>24</v>
      </c>
      <c r="J1527" s="464">
        <f t="shared" si="43"/>
        <v>24</v>
      </c>
    </row>
    <row r="1528" spans="1:10">
      <c r="A1528" s="82">
        <v>68</v>
      </c>
      <c r="B1528" s="460" t="s">
        <v>876</v>
      </c>
      <c r="C1528" s="465" t="s">
        <v>2326</v>
      </c>
      <c r="D1528" s="464" t="s">
        <v>286</v>
      </c>
      <c r="E1528" s="464">
        <v>130</v>
      </c>
      <c r="F1528" s="464"/>
      <c r="G1528" s="464">
        <f t="shared" si="44"/>
        <v>52</v>
      </c>
      <c r="H1528" s="464">
        <f t="shared" si="41"/>
        <v>26</v>
      </c>
      <c r="I1528" s="464">
        <f t="shared" si="42"/>
        <v>26</v>
      </c>
      <c r="J1528" s="464">
        <f t="shared" si="43"/>
        <v>26</v>
      </c>
    </row>
    <row r="1529" spans="1:10">
      <c r="A1529" s="82">
        <v>69</v>
      </c>
      <c r="B1529" s="460" t="s">
        <v>877</v>
      </c>
      <c r="C1529" s="465" t="s">
        <v>2298</v>
      </c>
      <c r="D1529" s="464" t="s">
        <v>286</v>
      </c>
      <c r="E1529" s="464">
        <v>60</v>
      </c>
      <c r="F1529" s="464"/>
      <c r="G1529" s="464">
        <f t="shared" si="44"/>
        <v>24</v>
      </c>
      <c r="H1529" s="464">
        <f t="shared" si="41"/>
        <v>12</v>
      </c>
      <c r="I1529" s="464">
        <f t="shared" si="42"/>
        <v>12</v>
      </c>
      <c r="J1529" s="464">
        <f t="shared" si="43"/>
        <v>12</v>
      </c>
    </row>
    <row r="1530" spans="1:10">
      <c r="A1530" s="82">
        <v>70</v>
      </c>
      <c r="B1530" s="788" t="s">
        <v>878</v>
      </c>
      <c r="C1530" s="51" t="s">
        <v>2327</v>
      </c>
      <c r="D1530" s="464" t="s">
        <v>286</v>
      </c>
      <c r="E1530" s="464">
        <v>1200</v>
      </c>
      <c r="F1530" s="464"/>
      <c r="G1530" s="464">
        <f t="shared" si="44"/>
        <v>480</v>
      </c>
      <c r="H1530" s="464">
        <f t="shared" si="41"/>
        <v>240</v>
      </c>
      <c r="I1530" s="464">
        <f t="shared" si="42"/>
        <v>240</v>
      </c>
      <c r="J1530" s="464">
        <f t="shared" si="43"/>
        <v>240</v>
      </c>
    </row>
    <row r="1531" spans="1:10" ht="18.75" customHeight="1">
      <c r="A1531" s="82">
        <v>71</v>
      </c>
      <c r="B1531" s="786" t="s">
        <v>879</v>
      </c>
      <c r="C1531" s="465" t="s">
        <v>2328</v>
      </c>
      <c r="D1531" s="464" t="s">
        <v>286</v>
      </c>
      <c r="E1531" s="464">
        <v>18500</v>
      </c>
      <c r="F1531" s="464"/>
      <c r="G1531" s="464">
        <f t="shared" si="44"/>
        <v>7400</v>
      </c>
      <c r="H1531" s="464">
        <f t="shared" si="41"/>
        <v>3700</v>
      </c>
      <c r="I1531" s="464">
        <f t="shared" si="42"/>
        <v>3700</v>
      </c>
      <c r="J1531" s="464">
        <f t="shared" si="43"/>
        <v>3700</v>
      </c>
    </row>
    <row r="1532" spans="1:10">
      <c r="A1532" s="82">
        <v>72</v>
      </c>
      <c r="B1532" s="786" t="s">
        <v>880</v>
      </c>
      <c r="C1532" s="99" t="s">
        <v>2329</v>
      </c>
      <c r="D1532" s="464" t="s">
        <v>286</v>
      </c>
      <c r="E1532" s="464">
        <v>6200</v>
      </c>
      <c r="F1532" s="464"/>
      <c r="G1532" s="464">
        <f t="shared" si="44"/>
        <v>2480</v>
      </c>
      <c r="H1532" s="464">
        <f t="shared" si="41"/>
        <v>1240</v>
      </c>
      <c r="I1532" s="464">
        <f t="shared" si="42"/>
        <v>1240</v>
      </c>
      <c r="J1532" s="464">
        <f t="shared" si="43"/>
        <v>1240</v>
      </c>
    </row>
    <row r="1533" spans="1:10" ht="30">
      <c r="A1533" s="82">
        <v>73</v>
      </c>
      <c r="B1533" s="786" t="s">
        <v>881</v>
      </c>
      <c r="C1533" s="465" t="s">
        <v>2330</v>
      </c>
      <c r="D1533" s="464" t="s">
        <v>286</v>
      </c>
      <c r="E1533" s="464">
        <v>1200</v>
      </c>
      <c r="F1533" s="464"/>
      <c r="G1533" s="464">
        <f t="shared" si="44"/>
        <v>480</v>
      </c>
      <c r="H1533" s="464">
        <f t="shared" si="41"/>
        <v>240</v>
      </c>
      <c r="I1533" s="464">
        <f t="shared" si="42"/>
        <v>240</v>
      </c>
      <c r="J1533" s="464">
        <f t="shared" si="43"/>
        <v>240</v>
      </c>
    </row>
    <row r="1534" spans="1:10">
      <c r="A1534" s="82">
        <v>74</v>
      </c>
      <c r="B1534" s="786" t="s">
        <v>882</v>
      </c>
      <c r="C1534" s="465" t="s">
        <v>2331</v>
      </c>
      <c r="D1534" s="464" t="s">
        <v>286</v>
      </c>
      <c r="E1534" s="464">
        <v>1200</v>
      </c>
      <c r="F1534" s="464"/>
      <c r="G1534" s="464">
        <f t="shared" si="44"/>
        <v>480</v>
      </c>
      <c r="H1534" s="464">
        <f t="shared" si="41"/>
        <v>240</v>
      </c>
      <c r="I1534" s="464">
        <f t="shared" si="42"/>
        <v>240</v>
      </c>
      <c r="J1534" s="464">
        <f t="shared" si="43"/>
        <v>240</v>
      </c>
    </row>
    <row r="1535" spans="1:10">
      <c r="A1535" s="82">
        <v>75</v>
      </c>
      <c r="B1535" s="788" t="s">
        <v>883</v>
      </c>
      <c r="C1535" s="465" t="s">
        <v>2332</v>
      </c>
      <c r="D1535" s="464" t="s">
        <v>286</v>
      </c>
      <c r="E1535" s="464">
        <v>600</v>
      </c>
      <c r="F1535" s="464"/>
      <c r="G1535" s="464">
        <f t="shared" si="44"/>
        <v>240</v>
      </c>
      <c r="H1535" s="464">
        <f t="shared" si="41"/>
        <v>120</v>
      </c>
      <c r="I1535" s="464">
        <f t="shared" si="42"/>
        <v>120</v>
      </c>
      <c r="J1535" s="464">
        <f t="shared" si="43"/>
        <v>120</v>
      </c>
    </row>
    <row r="1536" spans="1:10">
      <c r="A1536" s="82">
        <v>76</v>
      </c>
      <c r="B1536" s="786" t="s">
        <v>888</v>
      </c>
      <c r="C1536" s="465" t="s">
        <v>2333</v>
      </c>
      <c r="D1536" s="464" t="s">
        <v>286</v>
      </c>
      <c r="E1536" s="464">
        <v>2000</v>
      </c>
      <c r="F1536" s="464"/>
      <c r="G1536" s="464">
        <f t="shared" si="44"/>
        <v>800</v>
      </c>
      <c r="H1536" s="464">
        <f t="shared" si="41"/>
        <v>400</v>
      </c>
      <c r="I1536" s="464">
        <f t="shared" si="42"/>
        <v>400</v>
      </c>
      <c r="J1536" s="464">
        <f t="shared" si="43"/>
        <v>400</v>
      </c>
    </row>
    <row r="1537" spans="1:10">
      <c r="A1537" s="1026" t="s">
        <v>889</v>
      </c>
      <c r="B1537" s="1027"/>
      <c r="C1537" s="1027"/>
      <c r="D1537" s="1027"/>
      <c r="E1537" s="1027"/>
      <c r="F1537" s="1027"/>
      <c r="G1537" s="1027"/>
      <c r="H1537" s="1027"/>
      <c r="I1537" s="1027"/>
      <c r="J1537" s="1028"/>
    </row>
    <row r="1538" spans="1:10">
      <c r="A1538" s="68">
        <v>77</v>
      </c>
      <c r="B1538" s="790" t="s">
        <v>890</v>
      </c>
      <c r="C1538" s="465" t="s">
        <v>2334</v>
      </c>
      <c r="D1538" s="464" t="s">
        <v>286</v>
      </c>
      <c r="E1538" s="465">
        <v>700</v>
      </c>
      <c r="F1538" s="465"/>
      <c r="G1538" s="464">
        <f t="shared" si="44"/>
        <v>280</v>
      </c>
      <c r="H1538" s="464">
        <f t="shared" ref="H1538:H1549" si="45">E1538*0.2</f>
        <v>140</v>
      </c>
      <c r="I1538" s="464">
        <f t="shared" ref="I1538:I1549" si="46">E1538*0.2</f>
        <v>140</v>
      </c>
      <c r="J1538" s="464">
        <f t="shared" ref="J1538:J1549" si="47">E1538*0.2</f>
        <v>140</v>
      </c>
    </row>
    <row r="1539" spans="1:10">
      <c r="A1539" s="68">
        <v>78</v>
      </c>
      <c r="B1539" s="788" t="s">
        <v>891</v>
      </c>
      <c r="C1539" s="465" t="s">
        <v>2335</v>
      </c>
      <c r="D1539" s="464" t="s">
        <v>286</v>
      </c>
      <c r="E1539" s="464">
        <v>400</v>
      </c>
      <c r="F1539" s="464"/>
      <c r="G1539" s="464">
        <f t="shared" si="44"/>
        <v>160</v>
      </c>
      <c r="H1539" s="464">
        <f t="shared" si="45"/>
        <v>80</v>
      </c>
      <c r="I1539" s="464">
        <f t="shared" si="46"/>
        <v>80</v>
      </c>
      <c r="J1539" s="464">
        <f t="shared" si="47"/>
        <v>80</v>
      </c>
    </row>
    <row r="1540" spans="1:10">
      <c r="A1540" s="68">
        <v>79</v>
      </c>
      <c r="B1540" s="788" t="s">
        <v>892</v>
      </c>
      <c r="C1540" s="465" t="s">
        <v>2336</v>
      </c>
      <c r="D1540" s="464" t="s">
        <v>286</v>
      </c>
      <c r="E1540" s="464">
        <v>400</v>
      </c>
      <c r="F1540" s="464"/>
      <c r="G1540" s="464">
        <f t="shared" si="44"/>
        <v>160</v>
      </c>
      <c r="H1540" s="464">
        <f t="shared" si="45"/>
        <v>80</v>
      </c>
      <c r="I1540" s="464">
        <f t="shared" si="46"/>
        <v>80</v>
      </c>
      <c r="J1540" s="464">
        <f t="shared" si="47"/>
        <v>80</v>
      </c>
    </row>
    <row r="1541" spans="1:10">
      <c r="A1541" s="68">
        <v>80</v>
      </c>
      <c r="B1541" s="788" t="s">
        <v>860</v>
      </c>
      <c r="C1541" s="465" t="s">
        <v>2337</v>
      </c>
      <c r="D1541" s="464" t="s">
        <v>286</v>
      </c>
      <c r="E1541" s="464">
        <v>700</v>
      </c>
      <c r="F1541" s="464"/>
      <c r="G1541" s="464">
        <f t="shared" si="44"/>
        <v>280</v>
      </c>
      <c r="H1541" s="464">
        <f t="shared" si="45"/>
        <v>140</v>
      </c>
      <c r="I1541" s="464">
        <f t="shared" si="46"/>
        <v>140</v>
      </c>
      <c r="J1541" s="464">
        <f t="shared" si="47"/>
        <v>140</v>
      </c>
    </row>
    <row r="1542" spans="1:10">
      <c r="A1542" s="68">
        <v>81</v>
      </c>
      <c r="B1542" s="788" t="s">
        <v>893</v>
      </c>
      <c r="C1542" s="465" t="s">
        <v>2338</v>
      </c>
      <c r="D1542" s="464" t="s">
        <v>286</v>
      </c>
      <c r="E1542" s="464">
        <v>160</v>
      </c>
      <c r="F1542" s="464"/>
      <c r="G1542" s="464">
        <f t="shared" si="44"/>
        <v>64</v>
      </c>
      <c r="H1542" s="464">
        <f t="shared" si="45"/>
        <v>32</v>
      </c>
      <c r="I1542" s="464">
        <f t="shared" si="46"/>
        <v>32</v>
      </c>
      <c r="J1542" s="464">
        <f t="shared" si="47"/>
        <v>32</v>
      </c>
    </row>
    <row r="1543" spans="1:10">
      <c r="A1543" s="68">
        <v>82</v>
      </c>
      <c r="B1543" s="788" t="s">
        <v>894</v>
      </c>
      <c r="C1543" s="465" t="s">
        <v>2339</v>
      </c>
      <c r="D1543" s="464" t="s">
        <v>286</v>
      </c>
      <c r="E1543" s="464">
        <v>400</v>
      </c>
      <c r="F1543" s="464"/>
      <c r="G1543" s="464">
        <f t="shared" si="44"/>
        <v>160</v>
      </c>
      <c r="H1543" s="464">
        <f t="shared" si="45"/>
        <v>80</v>
      </c>
      <c r="I1543" s="464">
        <f t="shared" si="46"/>
        <v>80</v>
      </c>
      <c r="J1543" s="464">
        <f t="shared" si="47"/>
        <v>80</v>
      </c>
    </row>
    <row r="1544" spans="1:10">
      <c r="A1544" s="68">
        <v>83</v>
      </c>
      <c r="B1544" s="788" t="s">
        <v>895</v>
      </c>
      <c r="C1544" s="465" t="s">
        <v>2340</v>
      </c>
      <c r="D1544" s="464" t="s">
        <v>286</v>
      </c>
      <c r="E1544" s="464">
        <v>2000</v>
      </c>
      <c r="F1544" s="464"/>
      <c r="G1544" s="464">
        <f t="shared" si="44"/>
        <v>800</v>
      </c>
      <c r="H1544" s="464">
        <f t="shared" si="45"/>
        <v>400</v>
      </c>
      <c r="I1544" s="464">
        <f t="shared" si="46"/>
        <v>400</v>
      </c>
      <c r="J1544" s="464">
        <f t="shared" si="47"/>
        <v>400</v>
      </c>
    </row>
    <row r="1545" spans="1:10">
      <c r="A1545" s="68">
        <v>84</v>
      </c>
      <c r="B1545" s="788" t="s">
        <v>896</v>
      </c>
      <c r="C1545" s="465" t="s">
        <v>2341</v>
      </c>
      <c r="D1545" s="464" t="s">
        <v>286</v>
      </c>
      <c r="E1545" s="464">
        <v>2000</v>
      </c>
      <c r="F1545" s="464"/>
      <c r="G1545" s="464">
        <f t="shared" si="44"/>
        <v>800</v>
      </c>
      <c r="H1545" s="464">
        <f t="shared" si="45"/>
        <v>400</v>
      </c>
      <c r="I1545" s="464">
        <f t="shared" si="46"/>
        <v>400</v>
      </c>
      <c r="J1545" s="464">
        <f t="shared" si="47"/>
        <v>400</v>
      </c>
    </row>
    <row r="1546" spans="1:10">
      <c r="A1546" s="68">
        <v>85</v>
      </c>
      <c r="B1546" s="788" t="s">
        <v>897</v>
      </c>
      <c r="C1546" s="465" t="s">
        <v>2342</v>
      </c>
      <c r="D1546" s="464" t="s">
        <v>286</v>
      </c>
      <c r="E1546" s="464">
        <v>800</v>
      </c>
      <c r="F1546" s="464"/>
      <c r="G1546" s="464">
        <f t="shared" si="44"/>
        <v>320</v>
      </c>
      <c r="H1546" s="464">
        <f t="shared" si="45"/>
        <v>160</v>
      </c>
      <c r="I1546" s="464">
        <f t="shared" si="46"/>
        <v>160</v>
      </c>
      <c r="J1546" s="464">
        <f t="shared" si="47"/>
        <v>160</v>
      </c>
    </row>
    <row r="1547" spans="1:10" ht="18.75" customHeight="1">
      <c r="A1547" s="68">
        <v>86</v>
      </c>
      <c r="B1547" s="788" t="s">
        <v>898</v>
      </c>
      <c r="C1547" s="465" t="s">
        <v>2343</v>
      </c>
      <c r="D1547" s="464" t="s">
        <v>286</v>
      </c>
      <c r="E1547" s="464">
        <v>650</v>
      </c>
      <c r="F1547" s="464"/>
      <c r="G1547" s="464">
        <f t="shared" si="44"/>
        <v>260</v>
      </c>
      <c r="H1547" s="464">
        <f t="shared" si="45"/>
        <v>130</v>
      </c>
      <c r="I1547" s="464">
        <f t="shared" si="46"/>
        <v>130</v>
      </c>
      <c r="J1547" s="464">
        <f t="shared" si="47"/>
        <v>130</v>
      </c>
    </row>
    <row r="1548" spans="1:10">
      <c r="A1548" s="68">
        <v>87</v>
      </c>
      <c r="B1548" s="788" t="s">
        <v>899</v>
      </c>
      <c r="C1548" s="465" t="s">
        <v>2344</v>
      </c>
      <c r="D1548" s="464" t="s">
        <v>286</v>
      </c>
      <c r="E1548" s="464">
        <v>650</v>
      </c>
      <c r="F1548" s="464"/>
      <c r="G1548" s="464">
        <f t="shared" si="44"/>
        <v>260</v>
      </c>
      <c r="H1548" s="464">
        <f t="shared" si="45"/>
        <v>130</v>
      </c>
      <c r="I1548" s="464">
        <f t="shared" si="46"/>
        <v>130</v>
      </c>
      <c r="J1548" s="464">
        <f t="shared" si="47"/>
        <v>130</v>
      </c>
    </row>
    <row r="1549" spans="1:10">
      <c r="A1549" s="68">
        <v>88</v>
      </c>
      <c r="B1549" s="788" t="s">
        <v>900</v>
      </c>
      <c r="C1549" s="465" t="s">
        <v>2345</v>
      </c>
      <c r="D1549" s="464" t="s">
        <v>286</v>
      </c>
      <c r="E1549" s="464">
        <v>650</v>
      </c>
      <c r="F1549" s="464"/>
      <c r="G1549" s="464">
        <f t="shared" si="44"/>
        <v>260</v>
      </c>
      <c r="H1549" s="464">
        <f t="shared" si="45"/>
        <v>130</v>
      </c>
      <c r="I1549" s="464">
        <f t="shared" si="46"/>
        <v>130</v>
      </c>
      <c r="J1549" s="464">
        <f t="shared" si="47"/>
        <v>130</v>
      </c>
    </row>
    <row r="1550" spans="1:10">
      <c r="A1550" s="1026" t="s">
        <v>901</v>
      </c>
      <c r="B1550" s="1027"/>
      <c r="C1550" s="1027"/>
      <c r="D1550" s="1027"/>
      <c r="E1550" s="1027"/>
      <c r="F1550" s="1027"/>
      <c r="G1550" s="1027"/>
      <c r="H1550" s="1027"/>
      <c r="I1550" s="1027"/>
      <c r="J1550" s="1028"/>
    </row>
    <row r="1551" spans="1:10">
      <c r="A1551" s="68">
        <v>89</v>
      </c>
      <c r="B1551" s="788" t="s">
        <v>902</v>
      </c>
      <c r="C1551" s="465" t="s">
        <v>2346</v>
      </c>
      <c r="D1551" s="464" t="s">
        <v>286</v>
      </c>
      <c r="E1551" s="464">
        <v>10</v>
      </c>
      <c r="F1551" s="464"/>
      <c r="G1551" s="464"/>
      <c r="H1551" s="464">
        <v>10</v>
      </c>
      <c r="I1551" s="464"/>
      <c r="J1551" s="464"/>
    </row>
    <row r="1552" spans="1:10">
      <c r="A1552" s="68">
        <v>90</v>
      </c>
      <c r="B1552" s="788" t="s">
        <v>903</v>
      </c>
      <c r="C1552" s="465" t="s">
        <v>2347</v>
      </c>
      <c r="D1552" s="464" t="s">
        <v>286</v>
      </c>
      <c r="E1552" s="464">
        <v>10</v>
      </c>
      <c r="F1552" s="464"/>
      <c r="G1552" s="464"/>
      <c r="H1552" s="464">
        <v>10</v>
      </c>
      <c r="I1552" s="464"/>
      <c r="J1552" s="464"/>
    </row>
    <row r="1553" spans="1:10" ht="30">
      <c r="A1553" s="68">
        <v>91</v>
      </c>
      <c r="B1553" s="786" t="s">
        <v>904</v>
      </c>
      <c r="C1553" s="465" t="s">
        <v>2348</v>
      </c>
      <c r="D1553" s="464" t="s">
        <v>286</v>
      </c>
      <c r="E1553" s="464">
        <v>10</v>
      </c>
      <c r="F1553" s="464"/>
      <c r="G1553" s="464"/>
      <c r="H1553" s="464">
        <v>10</v>
      </c>
      <c r="I1553" s="464"/>
      <c r="J1553" s="464"/>
    </row>
    <row r="1554" spans="1:10">
      <c r="A1554" s="68">
        <v>92</v>
      </c>
      <c r="B1554" s="788" t="s">
        <v>905</v>
      </c>
      <c r="C1554" s="465" t="s">
        <v>2349</v>
      </c>
      <c r="D1554" s="464" t="s">
        <v>286</v>
      </c>
      <c r="E1554" s="464">
        <v>10</v>
      </c>
      <c r="F1554" s="464"/>
      <c r="G1554" s="464"/>
      <c r="H1554" s="464">
        <v>10</v>
      </c>
      <c r="I1554" s="464"/>
      <c r="J1554" s="464"/>
    </row>
    <row r="1555" spans="1:10">
      <c r="A1555" s="68">
        <v>93</v>
      </c>
      <c r="B1555" s="788" t="s">
        <v>906</v>
      </c>
      <c r="C1555" s="465" t="s">
        <v>2350</v>
      </c>
      <c r="D1555" s="464" t="s">
        <v>286</v>
      </c>
      <c r="E1555" s="464">
        <v>10</v>
      </c>
      <c r="F1555" s="464"/>
      <c r="G1555" s="464"/>
      <c r="H1555" s="464">
        <v>10</v>
      </c>
      <c r="I1555" s="464"/>
      <c r="J1555" s="464"/>
    </row>
    <row r="1556" spans="1:10">
      <c r="A1556" s="68">
        <v>94</v>
      </c>
      <c r="B1556" s="788" t="s">
        <v>903</v>
      </c>
      <c r="C1556" s="465" t="s">
        <v>2351</v>
      </c>
      <c r="D1556" s="464" t="s">
        <v>286</v>
      </c>
      <c r="E1556" s="464">
        <v>10</v>
      </c>
      <c r="F1556" s="464"/>
      <c r="G1556" s="464"/>
      <c r="H1556" s="464">
        <v>10</v>
      </c>
      <c r="I1556" s="464"/>
      <c r="J1556" s="464"/>
    </row>
    <row r="1557" spans="1:10" s="174" customFormat="1" ht="30">
      <c r="A1557" s="68">
        <v>95</v>
      </c>
      <c r="B1557" s="786" t="s">
        <v>907</v>
      </c>
      <c r="C1557" s="465" t="s">
        <v>2352</v>
      </c>
      <c r="D1557" s="464" t="s">
        <v>286</v>
      </c>
      <c r="E1557" s="465">
        <v>10</v>
      </c>
      <c r="F1557" s="465"/>
      <c r="G1557" s="464"/>
      <c r="H1557" s="464">
        <v>10</v>
      </c>
      <c r="I1557" s="464"/>
      <c r="J1557" s="464"/>
    </row>
    <row r="1558" spans="1:10">
      <c r="A1558" s="68">
        <v>96</v>
      </c>
      <c r="B1558" s="788" t="s">
        <v>908</v>
      </c>
      <c r="C1558" s="465" t="s">
        <v>2353</v>
      </c>
      <c r="D1558" s="464" t="s">
        <v>286</v>
      </c>
      <c r="E1558" s="465">
        <v>10</v>
      </c>
      <c r="F1558" s="465"/>
      <c r="G1558" s="464"/>
      <c r="H1558" s="464">
        <v>10</v>
      </c>
      <c r="I1558" s="464"/>
      <c r="J1558" s="464"/>
    </row>
    <row r="1559" spans="1:10" ht="30">
      <c r="A1559" s="68">
        <v>97</v>
      </c>
      <c r="B1559" s="786" t="s">
        <v>909</v>
      </c>
      <c r="C1559" s="465" t="s">
        <v>2354</v>
      </c>
      <c r="D1559" s="464" t="s">
        <v>286</v>
      </c>
      <c r="E1559" s="465">
        <v>10</v>
      </c>
      <c r="F1559" s="465"/>
      <c r="G1559" s="464"/>
      <c r="H1559" s="464">
        <v>10</v>
      </c>
      <c r="I1559" s="464"/>
      <c r="J1559" s="464"/>
    </row>
    <row r="1560" spans="1:10">
      <c r="A1560" s="68">
        <v>98</v>
      </c>
      <c r="B1560" s="788" t="s">
        <v>881</v>
      </c>
      <c r="C1560" s="465" t="s">
        <v>2355</v>
      </c>
      <c r="D1560" s="464" t="s">
        <v>286</v>
      </c>
      <c r="E1560" s="465">
        <v>40</v>
      </c>
      <c r="F1560" s="465"/>
      <c r="G1560" s="464"/>
      <c r="H1560" s="464">
        <v>40</v>
      </c>
      <c r="I1560" s="464"/>
      <c r="J1560" s="464"/>
    </row>
    <row r="1561" spans="1:10">
      <c r="A1561" s="68">
        <v>99</v>
      </c>
      <c r="B1561" s="788" t="s">
        <v>882</v>
      </c>
      <c r="C1561" s="465" t="s">
        <v>2356</v>
      </c>
      <c r="D1561" s="464" t="s">
        <v>286</v>
      </c>
      <c r="E1561" s="464">
        <v>10</v>
      </c>
      <c r="F1561" s="464"/>
      <c r="G1561" s="464"/>
      <c r="H1561" s="464">
        <v>10</v>
      </c>
      <c r="I1561" s="464"/>
      <c r="J1561" s="464"/>
    </row>
    <row r="1562" spans="1:10">
      <c r="A1562" s="68">
        <v>100</v>
      </c>
      <c r="B1562" s="788" t="s">
        <v>910</v>
      </c>
      <c r="C1562" s="465" t="s">
        <v>2268</v>
      </c>
      <c r="D1562" s="464" t="s">
        <v>286</v>
      </c>
      <c r="E1562" s="464">
        <v>10</v>
      </c>
      <c r="F1562" s="464"/>
      <c r="G1562" s="464"/>
      <c r="H1562" s="464">
        <v>10</v>
      </c>
      <c r="I1562" s="464"/>
      <c r="J1562" s="464"/>
    </row>
    <row r="1563" spans="1:10">
      <c r="A1563" s="68">
        <v>101</v>
      </c>
      <c r="B1563" s="788" t="s">
        <v>911</v>
      </c>
      <c r="C1563" s="465"/>
      <c r="D1563" s="464" t="s">
        <v>286</v>
      </c>
      <c r="E1563" s="464">
        <v>10</v>
      </c>
      <c r="F1563" s="464"/>
      <c r="G1563" s="464"/>
      <c r="H1563" s="464">
        <v>10</v>
      </c>
      <c r="I1563" s="464"/>
      <c r="J1563" s="464"/>
    </row>
    <row r="1564" spans="1:10">
      <c r="A1564" s="68">
        <v>102</v>
      </c>
      <c r="B1564" s="788" t="s">
        <v>912</v>
      </c>
      <c r="C1564" s="465"/>
      <c r="D1564" s="464" t="s">
        <v>286</v>
      </c>
      <c r="E1564" s="464">
        <v>10</v>
      </c>
      <c r="F1564" s="464"/>
      <c r="G1564" s="464"/>
      <c r="H1564" s="464">
        <v>10</v>
      </c>
      <c r="I1564" s="464"/>
      <c r="J1564" s="464"/>
    </row>
    <row r="1565" spans="1:10">
      <c r="A1565" s="68">
        <v>103</v>
      </c>
      <c r="B1565" s="788" t="s">
        <v>913</v>
      </c>
      <c r="C1565" s="465"/>
      <c r="D1565" s="464" t="s">
        <v>286</v>
      </c>
      <c r="E1565" s="464">
        <v>10</v>
      </c>
      <c r="F1565" s="464"/>
      <c r="G1565" s="464"/>
      <c r="H1565" s="464">
        <v>10</v>
      </c>
      <c r="I1565" s="464"/>
      <c r="J1565" s="464"/>
    </row>
    <row r="1566" spans="1:10">
      <c r="A1566" s="68">
        <v>104</v>
      </c>
      <c r="B1566" s="788" t="s">
        <v>914</v>
      </c>
      <c r="C1566" s="465"/>
      <c r="D1566" s="464" t="s">
        <v>286</v>
      </c>
      <c r="E1566" s="464">
        <v>10</v>
      </c>
      <c r="F1566" s="464"/>
      <c r="G1566" s="464"/>
      <c r="H1566" s="464">
        <v>10</v>
      </c>
      <c r="I1566" s="464"/>
      <c r="J1566" s="464"/>
    </row>
    <row r="1567" spans="1:10">
      <c r="A1567" s="1026" t="s">
        <v>915</v>
      </c>
      <c r="B1567" s="1027"/>
      <c r="C1567" s="1027"/>
      <c r="D1567" s="1027"/>
      <c r="E1567" s="1027"/>
      <c r="F1567" s="1027"/>
      <c r="G1567" s="1027"/>
      <c r="H1567" s="1027"/>
      <c r="I1567" s="1027"/>
      <c r="J1567" s="1028"/>
    </row>
    <row r="1568" spans="1:10">
      <c r="A1568" s="82">
        <v>92</v>
      </c>
      <c r="B1568" s="788" t="s">
        <v>916</v>
      </c>
      <c r="C1568" s="465" t="s">
        <v>2357</v>
      </c>
      <c r="D1568" s="464" t="s">
        <v>286</v>
      </c>
      <c r="E1568" s="464">
        <v>50</v>
      </c>
      <c r="F1568" s="464"/>
      <c r="G1568" s="464">
        <v>50</v>
      </c>
      <c r="H1568" s="464"/>
      <c r="I1568" s="464"/>
      <c r="J1568" s="464"/>
    </row>
    <row r="1569" spans="1:10">
      <c r="A1569" s="82">
        <v>93</v>
      </c>
      <c r="B1569" s="788" t="s">
        <v>917</v>
      </c>
      <c r="C1569" s="465" t="s">
        <v>2358</v>
      </c>
      <c r="D1569" s="464" t="s">
        <v>286</v>
      </c>
      <c r="E1569" s="464">
        <v>50</v>
      </c>
      <c r="F1569" s="464"/>
      <c r="G1569" s="464">
        <v>50</v>
      </c>
      <c r="H1569" s="464"/>
      <c r="I1569" s="464"/>
      <c r="J1569" s="464"/>
    </row>
    <row r="1570" spans="1:10">
      <c r="A1570" s="82">
        <v>94</v>
      </c>
      <c r="B1570" s="788" t="s">
        <v>918</v>
      </c>
      <c r="C1570" s="465" t="s">
        <v>2359</v>
      </c>
      <c r="D1570" s="464" t="s">
        <v>286</v>
      </c>
      <c r="E1570" s="464">
        <v>30</v>
      </c>
      <c r="F1570" s="464"/>
      <c r="G1570" s="464">
        <v>30</v>
      </c>
      <c r="H1570" s="464"/>
      <c r="I1570" s="464"/>
      <c r="J1570" s="464"/>
    </row>
    <row r="1571" spans="1:10">
      <c r="A1571" s="82">
        <v>95</v>
      </c>
      <c r="B1571" s="788" t="s">
        <v>919</v>
      </c>
      <c r="C1571" s="465" t="s">
        <v>2360</v>
      </c>
      <c r="D1571" s="464" t="s">
        <v>286</v>
      </c>
      <c r="E1571" s="464">
        <v>30</v>
      </c>
      <c r="F1571" s="464"/>
      <c r="G1571" s="464">
        <v>30</v>
      </c>
      <c r="H1571" s="464"/>
      <c r="I1571" s="464"/>
      <c r="J1571" s="464"/>
    </row>
    <row r="1572" spans="1:10">
      <c r="A1572" s="1026" t="s">
        <v>920</v>
      </c>
      <c r="B1572" s="1027"/>
      <c r="C1572" s="1027"/>
      <c r="D1572" s="1027"/>
      <c r="E1572" s="1027"/>
      <c r="F1572" s="1027"/>
      <c r="G1572" s="1027"/>
      <c r="H1572" s="1027"/>
      <c r="I1572" s="1027"/>
      <c r="J1572" s="1028"/>
    </row>
    <row r="1573" spans="1:10">
      <c r="A1573" s="82">
        <v>96</v>
      </c>
      <c r="B1573" s="460" t="s">
        <v>921</v>
      </c>
      <c r="C1573" s="465" t="s">
        <v>2361</v>
      </c>
      <c r="D1573" s="464" t="s">
        <v>286</v>
      </c>
      <c r="E1573" s="464">
        <v>60</v>
      </c>
      <c r="F1573" s="464"/>
      <c r="G1573" s="464">
        <f t="shared" ref="G1573:G1601" si="48">E1573*0.4</f>
        <v>24</v>
      </c>
      <c r="H1573" s="464">
        <f t="shared" ref="H1573:H1601" si="49">E1573*0.2</f>
        <v>12</v>
      </c>
      <c r="I1573" s="464">
        <f t="shared" ref="I1573:I1601" si="50">E1573*0.2</f>
        <v>12</v>
      </c>
      <c r="J1573" s="464">
        <f t="shared" ref="J1573:J1601" si="51">E1573*0.2</f>
        <v>12</v>
      </c>
    </row>
    <row r="1574" spans="1:10">
      <c r="A1574" s="82">
        <v>97</v>
      </c>
      <c r="B1574" s="460" t="s">
        <v>922</v>
      </c>
      <c r="C1574" s="465" t="s">
        <v>2362</v>
      </c>
      <c r="D1574" s="464" t="s">
        <v>286</v>
      </c>
      <c r="E1574" s="464">
        <v>60</v>
      </c>
      <c r="F1574" s="464"/>
      <c r="G1574" s="464">
        <f t="shared" si="48"/>
        <v>24</v>
      </c>
      <c r="H1574" s="464">
        <f t="shared" si="49"/>
        <v>12</v>
      </c>
      <c r="I1574" s="464">
        <f t="shared" si="50"/>
        <v>12</v>
      </c>
      <c r="J1574" s="464">
        <f t="shared" si="51"/>
        <v>12</v>
      </c>
    </row>
    <row r="1575" spans="1:10">
      <c r="A1575" s="82">
        <v>98</v>
      </c>
      <c r="B1575" s="460" t="s">
        <v>923</v>
      </c>
      <c r="C1575" s="465" t="s">
        <v>2363</v>
      </c>
      <c r="D1575" s="464" t="s">
        <v>286</v>
      </c>
      <c r="E1575" s="464">
        <v>60</v>
      </c>
      <c r="F1575" s="464"/>
      <c r="G1575" s="464">
        <f t="shared" si="48"/>
        <v>24</v>
      </c>
      <c r="H1575" s="464">
        <f t="shared" si="49"/>
        <v>12</v>
      </c>
      <c r="I1575" s="464">
        <f t="shared" si="50"/>
        <v>12</v>
      </c>
      <c r="J1575" s="464">
        <f t="shared" si="51"/>
        <v>12</v>
      </c>
    </row>
    <row r="1576" spans="1:10">
      <c r="A1576" s="82">
        <v>99</v>
      </c>
      <c r="B1576" s="460" t="s">
        <v>924</v>
      </c>
      <c r="C1576" s="465" t="s">
        <v>2364</v>
      </c>
      <c r="D1576" s="464" t="s">
        <v>286</v>
      </c>
      <c r="E1576" s="464">
        <v>120</v>
      </c>
      <c r="F1576" s="464"/>
      <c r="G1576" s="464">
        <f t="shared" si="48"/>
        <v>48</v>
      </c>
      <c r="H1576" s="464">
        <f t="shared" si="49"/>
        <v>24</v>
      </c>
      <c r="I1576" s="464">
        <f t="shared" si="50"/>
        <v>24</v>
      </c>
      <c r="J1576" s="464">
        <f t="shared" si="51"/>
        <v>24</v>
      </c>
    </row>
    <row r="1577" spans="1:10">
      <c r="A1577" s="82">
        <v>100</v>
      </c>
      <c r="B1577" s="460" t="s">
        <v>925</v>
      </c>
      <c r="C1577" s="465" t="s">
        <v>2365</v>
      </c>
      <c r="D1577" s="464" t="s">
        <v>286</v>
      </c>
      <c r="E1577" s="464">
        <v>60</v>
      </c>
      <c r="F1577" s="464"/>
      <c r="G1577" s="464">
        <f t="shared" si="48"/>
        <v>24</v>
      </c>
      <c r="H1577" s="464">
        <f t="shared" si="49"/>
        <v>12</v>
      </c>
      <c r="I1577" s="464">
        <f t="shared" si="50"/>
        <v>12</v>
      </c>
      <c r="J1577" s="464">
        <f t="shared" si="51"/>
        <v>12</v>
      </c>
    </row>
    <row r="1578" spans="1:10">
      <c r="A1578" s="82">
        <v>101</v>
      </c>
      <c r="B1578" s="797" t="s">
        <v>926</v>
      </c>
      <c r="C1578" s="465" t="s">
        <v>2366</v>
      </c>
      <c r="D1578" s="464" t="s">
        <v>286</v>
      </c>
      <c r="E1578" s="464">
        <v>60</v>
      </c>
      <c r="F1578" s="464"/>
      <c r="G1578" s="464">
        <f t="shared" si="48"/>
        <v>24</v>
      </c>
      <c r="H1578" s="464">
        <f t="shared" si="49"/>
        <v>12</v>
      </c>
      <c r="I1578" s="464">
        <f t="shared" si="50"/>
        <v>12</v>
      </c>
      <c r="J1578" s="464">
        <f t="shared" si="51"/>
        <v>12</v>
      </c>
    </row>
    <row r="1579" spans="1:10">
      <c r="A1579" s="82">
        <v>102</v>
      </c>
      <c r="B1579" s="460" t="s">
        <v>927</v>
      </c>
      <c r="C1579" s="465" t="s">
        <v>2367</v>
      </c>
      <c r="D1579" s="464" t="s">
        <v>286</v>
      </c>
      <c r="E1579" s="464">
        <v>80</v>
      </c>
      <c r="F1579" s="464"/>
      <c r="G1579" s="464">
        <f t="shared" si="48"/>
        <v>32</v>
      </c>
      <c r="H1579" s="464">
        <f t="shared" si="49"/>
        <v>16</v>
      </c>
      <c r="I1579" s="464">
        <f t="shared" si="50"/>
        <v>16</v>
      </c>
      <c r="J1579" s="464">
        <f t="shared" si="51"/>
        <v>16</v>
      </c>
    </row>
    <row r="1580" spans="1:10">
      <c r="A1580" s="82">
        <v>103</v>
      </c>
      <c r="B1580" s="460" t="s">
        <v>928</v>
      </c>
      <c r="C1580" s="465" t="s">
        <v>2368</v>
      </c>
      <c r="D1580" s="464" t="s">
        <v>286</v>
      </c>
      <c r="E1580" s="464">
        <v>60</v>
      </c>
      <c r="F1580" s="464"/>
      <c r="G1580" s="464">
        <f t="shared" si="48"/>
        <v>24</v>
      </c>
      <c r="H1580" s="464">
        <f t="shared" si="49"/>
        <v>12</v>
      </c>
      <c r="I1580" s="464">
        <f t="shared" si="50"/>
        <v>12</v>
      </c>
      <c r="J1580" s="464">
        <f t="shared" si="51"/>
        <v>12</v>
      </c>
    </row>
    <row r="1581" spans="1:10">
      <c r="A1581" s="82">
        <v>104</v>
      </c>
      <c r="B1581" s="460" t="s">
        <v>929</v>
      </c>
      <c r="C1581" s="465" t="s">
        <v>2369</v>
      </c>
      <c r="D1581" s="464" t="s">
        <v>286</v>
      </c>
      <c r="E1581" s="464">
        <v>60</v>
      </c>
      <c r="F1581" s="464"/>
      <c r="G1581" s="464">
        <f t="shared" si="48"/>
        <v>24</v>
      </c>
      <c r="H1581" s="464">
        <f t="shared" si="49"/>
        <v>12</v>
      </c>
      <c r="I1581" s="464">
        <f t="shared" si="50"/>
        <v>12</v>
      </c>
      <c r="J1581" s="464">
        <f t="shared" si="51"/>
        <v>12</v>
      </c>
    </row>
    <row r="1582" spans="1:10">
      <c r="A1582" s="82">
        <v>105</v>
      </c>
      <c r="B1582" s="460" t="s">
        <v>895</v>
      </c>
      <c r="C1582" s="465" t="s">
        <v>2370</v>
      </c>
      <c r="D1582" s="464" t="s">
        <v>286</v>
      </c>
      <c r="E1582" s="464">
        <v>80</v>
      </c>
      <c r="F1582" s="464"/>
      <c r="G1582" s="464">
        <f t="shared" si="48"/>
        <v>32</v>
      </c>
      <c r="H1582" s="464">
        <f t="shared" si="49"/>
        <v>16</v>
      </c>
      <c r="I1582" s="464">
        <f t="shared" si="50"/>
        <v>16</v>
      </c>
      <c r="J1582" s="464">
        <f t="shared" si="51"/>
        <v>16</v>
      </c>
    </row>
    <row r="1583" spans="1:10">
      <c r="A1583" s="82">
        <v>106</v>
      </c>
      <c r="B1583" s="460" t="s">
        <v>930</v>
      </c>
      <c r="C1583" s="465" t="s">
        <v>2371</v>
      </c>
      <c r="D1583" s="464" t="s">
        <v>286</v>
      </c>
      <c r="E1583" s="464">
        <v>80</v>
      </c>
      <c r="F1583" s="464"/>
      <c r="G1583" s="464">
        <f t="shared" si="48"/>
        <v>32</v>
      </c>
      <c r="H1583" s="464">
        <f t="shared" si="49"/>
        <v>16</v>
      </c>
      <c r="I1583" s="464">
        <f t="shared" si="50"/>
        <v>16</v>
      </c>
      <c r="J1583" s="464">
        <f t="shared" si="51"/>
        <v>16</v>
      </c>
    </row>
    <row r="1584" spans="1:10">
      <c r="A1584" s="82">
        <v>107</v>
      </c>
      <c r="B1584" s="460" t="s">
        <v>931</v>
      </c>
      <c r="C1584" s="465" t="s">
        <v>2372</v>
      </c>
      <c r="D1584" s="464" t="s">
        <v>286</v>
      </c>
      <c r="E1584" s="464">
        <v>30</v>
      </c>
      <c r="F1584" s="464"/>
      <c r="G1584" s="464">
        <f t="shared" si="48"/>
        <v>12</v>
      </c>
      <c r="H1584" s="464">
        <f t="shared" si="49"/>
        <v>6</v>
      </c>
      <c r="I1584" s="464">
        <f t="shared" si="50"/>
        <v>6</v>
      </c>
      <c r="J1584" s="464">
        <f t="shared" si="51"/>
        <v>6</v>
      </c>
    </row>
    <row r="1585" spans="1:10">
      <c r="A1585" s="82">
        <v>108</v>
      </c>
      <c r="B1585" s="460" t="s">
        <v>932</v>
      </c>
      <c r="C1585" s="465" t="s">
        <v>2373</v>
      </c>
      <c r="D1585" s="464" t="s">
        <v>286</v>
      </c>
      <c r="E1585" s="464">
        <v>60</v>
      </c>
      <c r="F1585" s="464"/>
      <c r="G1585" s="464">
        <f t="shared" si="48"/>
        <v>24</v>
      </c>
      <c r="H1585" s="464">
        <f t="shared" si="49"/>
        <v>12</v>
      </c>
      <c r="I1585" s="464">
        <f t="shared" si="50"/>
        <v>12</v>
      </c>
      <c r="J1585" s="464">
        <f t="shared" si="51"/>
        <v>12</v>
      </c>
    </row>
    <row r="1586" spans="1:10">
      <c r="A1586" s="82">
        <v>109</v>
      </c>
      <c r="B1586" s="460" t="s">
        <v>933</v>
      </c>
      <c r="C1586" s="465" t="s">
        <v>2374</v>
      </c>
      <c r="D1586" s="464" t="s">
        <v>286</v>
      </c>
      <c r="E1586" s="464">
        <v>60</v>
      </c>
      <c r="F1586" s="464"/>
      <c r="G1586" s="464">
        <f t="shared" si="48"/>
        <v>24</v>
      </c>
      <c r="H1586" s="464">
        <f t="shared" si="49"/>
        <v>12</v>
      </c>
      <c r="I1586" s="464">
        <f t="shared" si="50"/>
        <v>12</v>
      </c>
      <c r="J1586" s="464">
        <f t="shared" si="51"/>
        <v>12</v>
      </c>
    </row>
    <row r="1587" spans="1:10">
      <c r="A1587" s="82">
        <v>110</v>
      </c>
      <c r="B1587" s="460" t="s">
        <v>934</v>
      </c>
      <c r="C1587" s="465" t="s">
        <v>2375</v>
      </c>
      <c r="D1587" s="464" t="s">
        <v>286</v>
      </c>
      <c r="E1587" s="464">
        <v>60</v>
      </c>
      <c r="F1587" s="464"/>
      <c r="G1587" s="464">
        <f t="shared" si="48"/>
        <v>24</v>
      </c>
      <c r="H1587" s="464">
        <f t="shared" si="49"/>
        <v>12</v>
      </c>
      <c r="I1587" s="464">
        <f t="shared" si="50"/>
        <v>12</v>
      </c>
      <c r="J1587" s="464">
        <f t="shared" si="51"/>
        <v>12</v>
      </c>
    </row>
    <row r="1588" spans="1:10">
      <c r="A1588" s="82">
        <v>111</v>
      </c>
      <c r="B1588" s="460" t="s">
        <v>935</v>
      </c>
      <c r="C1588" s="465" t="s">
        <v>2376</v>
      </c>
      <c r="D1588" s="464" t="s">
        <v>286</v>
      </c>
      <c r="E1588" s="464">
        <v>60</v>
      </c>
      <c r="F1588" s="464"/>
      <c r="G1588" s="464">
        <f t="shared" si="48"/>
        <v>24</v>
      </c>
      <c r="H1588" s="464">
        <f t="shared" si="49"/>
        <v>12</v>
      </c>
      <c r="I1588" s="464">
        <f t="shared" si="50"/>
        <v>12</v>
      </c>
      <c r="J1588" s="464">
        <f t="shared" si="51"/>
        <v>12</v>
      </c>
    </row>
    <row r="1589" spans="1:10">
      <c r="A1589" s="82">
        <v>112</v>
      </c>
      <c r="B1589" s="460" t="s">
        <v>936</v>
      </c>
      <c r="C1589" s="465" t="s">
        <v>2377</v>
      </c>
      <c r="D1589" s="464" t="s">
        <v>286</v>
      </c>
      <c r="E1589" s="464">
        <v>60</v>
      </c>
      <c r="F1589" s="464"/>
      <c r="G1589" s="464">
        <f t="shared" si="48"/>
        <v>24</v>
      </c>
      <c r="H1589" s="464">
        <f t="shared" si="49"/>
        <v>12</v>
      </c>
      <c r="I1589" s="464">
        <f t="shared" si="50"/>
        <v>12</v>
      </c>
      <c r="J1589" s="464">
        <f t="shared" si="51"/>
        <v>12</v>
      </c>
    </row>
    <row r="1590" spans="1:10">
      <c r="A1590" s="82">
        <v>113</v>
      </c>
      <c r="B1590" s="460" t="s">
        <v>937</v>
      </c>
      <c r="C1590" s="465" t="s">
        <v>2378</v>
      </c>
      <c r="D1590" s="464" t="s">
        <v>286</v>
      </c>
      <c r="E1590" s="464">
        <v>100</v>
      </c>
      <c r="F1590" s="464"/>
      <c r="G1590" s="464">
        <f t="shared" si="48"/>
        <v>40</v>
      </c>
      <c r="H1590" s="464">
        <f t="shared" si="49"/>
        <v>20</v>
      </c>
      <c r="I1590" s="464">
        <f t="shared" si="50"/>
        <v>20</v>
      </c>
      <c r="J1590" s="464">
        <f t="shared" si="51"/>
        <v>20</v>
      </c>
    </row>
    <row r="1591" spans="1:10">
      <c r="A1591" s="82">
        <v>114</v>
      </c>
      <c r="B1591" s="460" t="s">
        <v>938</v>
      </c>
      <c r="C1591" s="465" t="s">
        <v>2379</v>
      </c>
      <c r="D1591" s="464" t="s">
        <v>286</v>
      </c>
      <c r="E1591" s="464">
        <v>40</v>
      </c>
      <c r="F1591" s="464"/>
      <c r="G1591" s="464">
        <f t="shared" si="48"/>
        <v>16</v>
      </c>
      <c r="H1591" s="464">
        <f t="shared" si="49"/>
        <v>8</v>
      </c>
      <c r="I1591" s="464">
        <f t="shared" si="50"/>
        <v>8</v>
      </c>
      <c r="J1591" s="464">
        <f t="shared" si="51"/>
        <v>8</v>
      </c>
    </row>
    <row r="1592" spans="1:10">
      <c r="A1592" s="82">
        <v>115</v>
      </c>
      <c r="B1592" s="460" t="s">
        <v>939</v>
      </c>
      <c r="C1592" s="465" t="s">
        <v>2380</v>
      </c>
      <c r="D1592" s="464" t="s">
        <v>286</v>
      </c>
      <c r="E1592" s="464">
        <v>2400</v>
      </c>
      <c r="F1592" s="464"/>
      <c r="G1592" s="464">
        <f t="shared" si="48"/>
        <v>960</v>
      </c>
      <c r="H1592" s="464">
        <f t="shared" si="49"/>
        <v>480</v>
      </c>
      <c r="I1592" s="464">
        <f t="shared" si="50"/>
        <v>480</v>
      </c>
      <c r="J1592" s="464">
        <f t="shared" si="51"/>
        <v>480</v>
      </c>
    </row>
    <row r="1593" spans="1:10">
      <c r="A1593" s="82">
        <v>116</v>
      </c>
      <c r="B1593" s="460" t="s">
        <v>940</v>
      </c>
      <c r="C1593" s="465" t="s">
        <v>2381</v>
      </c>
      <c r="D1593" s="464" t="s">
        <v>286</v>
      </c>
      <c r="E1593" s="464">
        <v>60</v>
      </c>
      <c r="F1593" s="464"/>
      <c r="G1593" s="464">
        <f t="shared" si="48"/>
        <v>24</v>
      </c>
      <c r="H1593" s="464">
        <f t="shared" si="49"/>
        <v>12</v>
      </c>
      <c r="I1593" s="464">
        <f t="shared" si="50"/>
        <v>12</v>
      </c>
      <c r="J1593" s="464">
        <f t="shared" si="51"/>
        <v>12</v>
      </c>
    </row>
    <row r="1594" spans="1:10">
      <c r="A1594" s="82">
        <v>117</v>
      </c>
      <c r="B1594" s="460" t="s">
        <v>941</v>
      </c>
      <c r="C1594" s="465" t="s">
        <v>2382</v>
      </c>
      <c r="D1594" s="464" t="s">
        <v>286</v>
      </c>
      <c r="E1594" s="464">
        <v>100</v>
      </c>
      <c r="F1594" s="464"/>
      <c r="G1594" s="464">
        <f t="shared" si="48"/>
        <v>40</v>
      </c>
      <c r="H1594" s="464">
        <f t="shared" si="49"/>
        <v>20</v>
      </c>
      <c r="I1594" s="464">
        <f t="shared" si="50"/>
        <v>20</v>
      </c>
      <c r="J1594" s="464">
        <f t="shared" si="51"/>
        <v>20</v>
      </c>
    </row>
    <row r="1595" spans="1:10">
      <c r="A1595" s="82">
        <v>118</v>
      </c>
      <c r="B1595" s="460" t="s">
        <v>942</v>
      </c>
      <c r="C1595" s="465" t="s">
        <v>2383</v>
      </c>
      <c r="D1595" s="464" t="s">
        <v>286</v>
      </c>
      <c r="E1595" s="464">
        <v>40</v>
      </c>
      <c r="F1595" s="464"/>
      <c r="G1595" s="464">
        <f t="shared" si="48"/>
        <v>16</v>
      </c>
      <c r="H1595" s="464">
        <f t="shared" si="49"/>
        <v>8</v>
      </c>
      <c r="I1595" s="464">
        <f t="shared" si="50"/>
        <v>8</v>
      </c>
      <c r="J1595" s="464">
        <f t="shared" si="51"/>
        <v>8</v>
      </c>
    </row>
    <row r="1596" spans="1:10">
      <c r="A1596" s="82">
        <v>119</v>
      </c>
      <c r="B1596" s="460" t="s">
        <v>943</v>
      </c>
      <c r="C1596" s="465" t="s">
        <v>2384</v>
      </c>
      <c r="D1596" s="464" t="s">
        <v>286</v>
      </c>
      <c r="E1596" s="464">
        <v>100</v>
      </c>
      <c r="F1596" s="464"/>
      <c r="G1596" s="464">
        <f t="shared" si="48"/>
        <v>40</v>
      </c>
      <c r="H1596" s="464">
        <f t="shared" si="49"/>
        <v>20</v>
      </c>
      <c r="I1596" s="464">
        <f t="shared" si="50"/>
        <v>20</v>
      </c>
      <c r="J1596" s="464">
        <f t="shared" si="51"/>
        <v>20</v>
      </c>
    </row>
    <row r="1597" spans="1:10">
      <c r="A1597" s="82">
        <v>120</v>
      </c>
      <c r="B1597" s="460" t="s">
        <v>944</v>
      </c>
      <c r="C1597" s="465" t="s">
        <v>2385</v>
      </c>
      <c r="D1597" s="464" t="s">
        <v>286</v>
      </c>
      <c r="E1597" s="464">
        <v>100</v>
      </c>
      <c r="F1597" s="464"/>
      <c r="G1597" s="464">
        <f t="shared" si="48"/>
        <v>40</v>
      </c>
      <c r="H1597" s="464">
        <f t="shared" si="49"/>
        <v>20</v>
      </c>
      <c r="I1597" s="464">
        <f t="shared" si="50"/>
        <v>20</v>
      </c>
      <c r="J1597" s="464">
        <f t="shared" si="51"/>
        <v>20</v>
      </c>
    </row>
    <row r="1598" spans="1:10">
      <c r="A1598" s="82">
        <v>121</v>
      </c>
      <c r="B1598" s="798" t="s">
        <v>945</v>
      </c>
      <c r="C1598" s="465" t="s">
        <v>2386</v>
      </c>
      <c r="D1598" s="464" t="s">
        <v>286</v>
      </c>
      <c r="E1598" s="464">
        <v>60</v>
      </c>
      <c r="F1598" s="464"/>
      <c r="G1598" s="464">
        <f t="shared" si="48"/>
        <v>24</v>
      </c>
      <c r="H1598" s="464">
        <f t="shared" si="49"/>
        <v>12</v>
      </c>
      <c r="I1598" s="464">
        <f t="shared" si="50"/>
        <v>12</v>
      </c>
      <c r="J1598" s="464">
        <f t="shared" si="51"/>
        <v>12</v>
      </c>
    </row>
    <row r="1599" spans="1:10">
      <c r="A1599" s="82">
        <v>122</v>
      </c>
      <c r="B1599" s="798" t="s">
        <v>946</v>
      </c>
      <c r="C1599" s="51" t="s">
        <v>2387</v>
      </c>
      <c r="D1599" s="464" t="s">
        <v>286</v>
      </c>
      <c r="E1599" s="464">
        <v>60</v>
      </c>
      <c r="F1599" s="464"/>
      <c r="G1599" s="464">
        <f t="shared" si="48"/>
        <v>24</v>
      </c>
      <c r="H1599" s="464">
        <f t="shared" si="49"/>
        <v>12</v>
      </c>
      <c r="I1599" s="464">
        <f t="shared" si="50"/>
        <v>12</v>
      </c>
      <c r="J1599" s="464">
        <f t="shared" si="51"/>
        <v>12</v>
      </c>
    </row>
    <row r="1600" spans="1:10">
      <c r="A1600" s="82">
        <v>123</v>
      </c>
      <c r="B1600" s="798" t="s">
        <v>945</v>
      </c>
      <c r="C1600" s="51" t="s">
        <v>2388</v>
      </c>
      <c r="D1600" s="464" t="s">
        <v>286</v>
      </c>
      <c r="E1600" s="464">
        <v>60</v>
      </c>
      <c r="F1600" s="464"/>
      <c r="G1600" s="464">
        <f t="shared" si="48"/>
        <v>24</v>
      </c>
      <c r="H1600" s="464">
        <f t="shared" si="49"/>
        <v>12</v>
      </c>
      <c r="I1600" s="464">
        <f t="shared" si="50"/>
        <v>12</v>
      </c>
      <c r="J1600" s="464">
        <f t="shared" si="51"/>
        <v>12</v>
      </c>
    </row>
    <row r="1601" spans="1:10">
      <c r="A1601" s="82">
        <v>124</v>
      </c>
      <c r="B1601" s="798" t="s">
        <v>946</v>
      </c>
      <c r="C1601" s="51" t="s">
        <v>2389</v>
      </c>
      <c r="D1601" s="464" t="s">
        <v>286</v>
      </c>
      <c r="E1601" s="464">
        <v>60</v>
      </c>
      <c r="F1601" s="464"/>
      <c r="G1601" s="464">
        <f t="shared" si="48"/>
        <v>24</v>
      </c>
      <c r="H1601" s="464">
        <f t="shared" si="49"/>
        <v>12</v>
      </c>
      <c r="I1601" s="464">
        <f t="shared" si="50"/>
        <v>12</v>
      </c>
      <c r="J1601" s="464">
        <f t="shared" si="51"/>
        <v>12</v>
      </c>
    </row>
    <row r="1602" spans="1:10">
      <c r="A1602" s="1026" t="s">
        <v>947</v>
      </c>
      <c r="B1602" s="1027"/>
      <c r="C1602" s="1027"/>
      <c r="D1602" s="1027"/>
      <c r="E1602" s="1027"/>
      <c r="F1602" s="1027"/>
      <c r="G1602" s="1027"/>
      <c r="H1602" s="1027"/>
      <c r="I1602" s="1027"/>
      <c r="J1602" s="1028"/>
    </row>
    <row r="1603" spans="1:10">
      <c r="A1603" s="82">
        <v>125</v>
      </c>
      <c r="B1603" s="798" t="s">
        <v>948</v>
      </c>
      <c r="C1603" s="51" t="s">
        <v>2390</v>
      </c>
      <c r="D1603" s="464" t="s">
        <v>286</v>
      </c>
      <c r="E1603" s="464">
        <v>20</v>
      </c>
      <c r="F1603" s="464"/>
      <c r="G1603" s="464">
        <v>20</v>
      </c>
      <c r="H1603" s="464"/>
      <c r="I1603" s="464"/>
      <c r="J1603" s="464"/>
    </row>
    <row r="1604" spans="1:10">
      <c r="A1604" s="82">
        <v>126</v>
      </c>
      <c r="B1604" s="798" t="s">
        <v>949</v>
      </c>
      <c r="C1604" s="51" t="s">
        <v>2391</v>
      </c>
      <c r="D1604" s="464" t="s">
        <v>286</v>
      </c>
      <c r="E1604" s="464">
        <v>20</v>
      </c>
      <c r="F1604" s="464"/>
      <c r="G1604" s="464">
        <v>20</v>
      </c>
      <c r="H1604" s="464"/>
      <c r="I1604" s="464"/>
      <c r="J1604" s="464"/>
    </row>
    <row r="1605" spans="1:10">
      <c r="A1605" s="82">
        <v>127</v>
      </c>
      <c r="B1605" s="798" t="s">
        <v>950</v>
      </c>
      <c r="C1605" s="51" t="s">
        <v>2392</v>
      </c>
      <c r="D1605" s="464" t="s">
        <v>286</v>
      </c>
      <c r="E1605" s="464">
        <v>20</v>
      </c>
      <c r="F1605" s="464"/>
      <c r="G1605" s="464">
        <v>20</v>
      </c>
      <c r="H1605" s="464"/>
      <c r="I1605" s="464"/>
      <c r="J1605" s="464"/>
    </row>
    <row r="1606" spans="1:10">
      <c r="A1606" s="82">
        <v>128</v>
      </c>
      <c r="B1606" s="798" t="s">
        <v>951</v>
      </c>
      <c r="C1606" s="51" t="s">
        <v>2393</v>
      </c>
      <c r="D1606" s="464" t="s">
        <v>286</v>
      </c>
      <c r="E1606" s="464">
        <v>20</v>
      </c>
      <c r="F1606" s="464"/>
      <c r="G1606" s="464">
        <v>20</v>
      </c>
      <c r="H1606" s="464"/>
      <c r="I1606" s="464"/>
      <c r="J1606" s="464"/>
    </row>
    <row r="1607" spans="1:10">
      <c r="A1607" s="82">
        <v>129</v>
      </c>
      <c r="B1607" s="798" t="s">
        <v>952</v>
      </c>
      <c r="C1607" s="51" t="s">
        <v>2394</v>
      </c>
      <c r="D1607" s="464" t="s">
        <v>286</v>
      </c>
      <c r="E1607" s="464">
        <v>60</v>
      </c>
      <c r="F1607" s="464"/>
      <c r="G1607" s="464">
        <v>60</v>
      </c>
      <c r="H1607" s="464"/>
      <c r="I1607" s="464"/>
      <c r="J1607" s="464"/>
    </row>
    <row r="1608" spans="1:10">
      <c r="A1608" s="82">
        <v>130</v>
      </c>
      <c r="B1608" s="798" t="s">
        <v>953</v>
      </c>
      <c r="C1608" s="51" t="s">
        <v>2395</v>
      </c>
      <c r="D1608" s="464" t="s">
        <v>286</v>
      </c>
      <c r="E1608" s="464">
        <v>20</v>
      </c>
      <c r="F1608" s="464"/>
      <c r="G1608" s="464">
        <v>20</v>
      </c>
      <c r="H1608" s="464"/>
      <c r="I1608" s="464"/>
      <c r="J1608" s="464"/>
    </row>
    <row r="1609" spans="1:10">
      <c r="A1609" s="82">
        <v>131</v>
      </c>
      <c r="B1609" s="798" t="s">
        <v>925</v>
      </c>
      <c r="C1609" s="51" t="s">
        <v>2396</v>
      </c>
      <c r="D1609" s="464" t="s">
        <v>286</v>
      </c>
      <c r="E1609" s="464">
        <v>20</v>
      </c>
      <c r="F1609" s="464"/>
      <c r="G1609" s="464">
        <v>20</v>
      </c>
      <c r="H1609" s="464"/>
      <c r="I1609" s="464"/>
      <c r="J1609" s="464"/>
    </row>
    <row r="1610" spans="1:10">
      <c r="A1610" s="82">
        <v>132</v>
      </c>
      <c r="B1610" s="798" t="s">
        <v>954</v>
      </c>
      <c r="C1610" s="51" t="s">
        <v>2397</v>
      </c>
      <c r="D1610" s="464" t="s">
        <v>286</v>
      </c>
      <c r="E1610" s="464">
        <v>20</v>
      </c>
      <c r="F1610" s="464"/>
      <c r="G1610" s="464">
        <v>20</v>
      </c>
      <c r="H1610" s="464"/>
      <c r="I1610" s="464"/>
      <c r="J1610" s="464"/>
    </row>
    <row r="1611" spans="1:10">
      <c r="A1611" s="82">
        <v>133</v>
      </c>
      <c r="B1611" s="798" t="s">
        <v>955</v>
      </c>
      <c r="C1611" s="51" t="s">
        <v>2398</v>
      </c>
      <c r="D1611" s="464" t="s">
        <v>286</v>
      </c>
      <c r="E1611" s="464">
        <v>20</v>
      </c>
      <c r="F1611" s="464"/>
      <c r="G1611" s="464">
        <v>20</v>
      </c>
      <c r="H1611" s="464"/>
      <c r="I1611" s="464"/>
      <c r="J1611" s="464"/>
    </row>
    <row r="1612" spans="1:10">
      <c r="A1612" s="82">
        <v>134</v>
      </c>
      <c r="B1612" s="798" t="s">
        <v>956</v>
      </c>
      <c r="C1612" s="51" t="s">
        <v>2399</v>
      </c>
      <c r="D1612" s="464" t="s">
        <v>286</v>
      </c>
      <c r="E1612" s="464">
        <v>20</v>
      </c>
      <c r="F1612" s="464"/>
      <c r="G1612" s="464">
        <v>20</v>
      </c>
      <c r="H1612" s="464"/>
      <c r="I1612" s="464"/>
      <c r="J1612" s="464"/>
    </row>
    <row r="1613" spans="1:10">
      <c r="A1613" s="82">
        <v>135</v>
      </c>
      <c r="B1613" s="798" t="s">
        <v>957</v>
      </c>
      <c r="C1613" s="51" t="s">
        <v>2400</v>
      </c>
      <c r="D1613" s="464" t="s">
        <v>286</v>
      </c>
      <c r="E1613" s="464">
        <v>20</v>
      </c>
      <c r="F1613" s="464"/>
      <c r="G1613" s="464">
        <v>20</v>
      </c>
      <c r="H1613" s="464"/>
      <c r="I1613" s="464"/>
      <c r="J1613" s="464"/>
    </row>
    <row r="1614" spans="1:10">
      <c r="A1614" s="82">
        <v>136</v>
      </c>
      <c r="B1614" s="798" t="s">
        <v>958</v>
      </c>
      <c r="C1614" s="51" t="s">
        <v>2401</v>
      </c>
      <c r="D1614" s="464" t="s">
        <v>286</v>
      </c>
      <c r="E1614" s="464">
        <v>100</v>
      </c>
      <c r="F1614" s="464"/>
      <c r="G1614" s="464">
        <v>100</v>
      </c>
      <c r="H1614" s="464"/>
      <c r="I1614" s="464"/>
      <c r="J1614" s="464"/>
    </row>
    <row r="1615" spans="1:10">
      <c r="A1615" s="1026" t="s">
        <v>959</v>
      </c>
      <c r="B1615" s="1027"/>
      <c r="C1615" s="1027"/>
      <c r="D1615" s="1027"/>
      <c r="E1615" s="1027"/>
      <c r="F1615" s="1027"/>
      <c r="G1615" s="1027"/>
      <c r="H1615" s="1027"/>
      <c r="I1615" s="1027"/>
      <c r="J1615" s="1028"/>
    </row>
    <row r="1616" spans="1:10">
      <c r="A1616" s="82">
        <v>137</v>
      </c>
      <c r="B1616" s="460" t="s">
        <v>959</v>
      </c>
      <c r="C1616" s="100" t="s">
        <v>2402</v>
      </c>
      <c r="D1616" s="464" t="s">
        <v>286</v>
      </c>
      <c r="E1616" s="464">
        <v>18</v>
      </c>
      <c r="F1616" s="464"/>
      <c r="G1616" s="464">
        <v>18</v>
      </c>
      <c r="H1616" s="464"/>
      <c r="I1616" s="464"/>
      <c r="J1616" s="464"/>
    </row>
    <row r="1617" spans="1:10">
      <c r="A1617" s="82">
        <v>138</v>
      </c>
      <c r="B1617" s="460" t="s">
        <v>960</v>
      </c>
      <c r="C1617" s="100" t="s">
        <v>2403</v>
      </c>
      <c r="D1617" s="464" t="s">
        <v>286</v>
      </c>
      <c r="E1617" s="464">
        <v>36</v>
      </c>
      <c r="F1617" s="464"/>
      <c r="G1617" s="464">
        <v>36</v>
      </c>
      <c r="H1617" s="464"/>
      <c r="I1617" s="464"/>
      <c r="J1617" s="464"/>
    </row>
    <row r="1618" spans="1:10">
      <c r="A1618" s="82">
        <v>139</v>
      </c>
      <c r="B1618" s="790" t="s">
        <v>961</v>
      </c>
      <c r="C1618" s="100" t="s">
        <v>2404</v>
      </c>
      <c r="D1618" s="464" t="s">
        <v>286</v>
      </c>
      <c r="E1618" s="464">
        <v>90</v>
      </c>
      <c r="F1618" s="464"/>
      <c r="G1618" s="464">
        <v>90</v>
      </c>
      <c r="H1618" s="464"/>
      <c r="I1618" s="464"/>
      <c r="J1618" s="464"/>
    </row>
    <row r="1619" spans="1:10">
      <c r="A1619" s="82">
        <v>140</v>
      </c>
      <c r="B1619" s="460" t="s">
        <v>962</v>
      </c>
      <c r="C1619" s="100" t="s">
        <v>2405</v>
      </c>
      <c r="D1619" s="464" t="s">
        <v>286</v>
      </c>
      <c r="E1619" s="464">
        <v>36</v>
      </c>
      <c r="F1619" s="464"/>
      <c r="G1619" s="464">
        <v>36</v>
      </c>
      <c r="H1619" s="464"/>
      <c r="I1619" s="464"/>
      <c r="J1619" s="464"/>
    </row>
    <row r="1620" spans="1:10">
      <c r="A1620" s="82">
        <v>141</v>
      </c>
      <c r="B1620" s="460" t="s">
        <v>963</v>
      </c>
      <c r="C1620" s="100" t="s">
        <v>2406</v>
      </c>
      <c r="D1620" s="464" t="s">
        <v>286</v>
      </c>
      <c r="E1620" s="464">
        <v>90</v>
      </c>
      <c r="F1620" s="464"/>
      <c r="G1620" s="464">
        <v>90</v>
      </c>
      <c r="H1620" s="464"/>
      <c r="I1620" s="464"/>
      <c r="J1620" s="464"/>
    </row>
    <row r="1621" spans="1:10">
      <c r="A1621" s="82">
        <v>142</v>
      </c>
      <c r="B1621" s="790" t="s">
        <v>951</v>
      </c>
      <c r="C1621" s="100" t="s">
        <v>2407</v>
      </c>
      <c r="D1621" s="464" t="s">
        <v>286</v>
      </c>
      <c r="E1621" s="464">
        <v>72</v>
      </c>
      <c r="F1621" s="464"/>
      <c r="G1621" s="464">
        <v>72</v>
      </c>
      <c r="H1621" s="464"/>
      <c r="I1621" s="464"/>
      <c r="J1621" s="464"/>
    </row>
    <row r="1622" spans="1:10">
      <c r="A1622" s="82">
        <v>143</v>
      </c>
      <c r="B1622" s="790" t="s">
        <v>964</v>
      </c>
      <c r="C1622" s="100" t="s">
        <v>2408</v>
      </c>
      <c r="D1622" s="464" t="s">
        <v>286</v>
      </c>
      <c r="E1622" s="464">
        <v>72</v>
      </c>
      <c r="F1622" s="464"/>
      <c r="G1622" s="464">
        <v>72</v>
      </c>
      <c r="H1622" s="464"/>
      <c r="I1622" s="464"/>
      <c r="J1622" s="464"/>
    </row>
    <row r="1623" spans="1:10">
      <c r="A1623" s="82">
        <v>144</v>
      </c>
      <c r="B1623" s="790" t="s">
        <v>965</v>
      </c>
      <c r="C1623" s="100" t="s">
        <v>2409</v>
      </c>
      <c r="D1623" s="464" t="s">
        <v>286</v>
      </c>
      <c r="E1623" s="464">
        <v>18</v>
      </c>
      <c r="F1623" s="464"/>
      <c r="G1623" s="464">
        <v>18</v>
      </c>
      <c r="H1623" s="464"/>
      <c r="I1623" s="464"/>
      <c r="J1623" s="464"/>
    </row>
    <row r="1624" spans="1:10">
      <c r="A1624" s="1026" t="s">
        <v>966</v>
      </c>
      <c r="B1624" s="1027"/>
      <c r="C1624" s="1027"/>
      <c r="D1624" s="1027"/>
      <c r="E1624" s="1027"/>
      <c r="F1624" s="1027"/>
      <c r="G1624" s="1027"/>
      <c r="H1624" s="1027"/>
      <c r="I1624" s="1027"/>
      <c r="J1624" s="1028"/>
    </row>
    <row r="1625" spans="1:10">
      <c r="A1625" s="82">
        <v>145</v>
      </c>
      <c r="B1625" s="790" t="s">
        <v>966</v>
      </c>
      <c r="C1625" s="100" t="s">
        <v>2410</v>
      </c>
      <c r="D1625" s="464" t="s">
        <v>286</v>
      </c>
      <c r="E1625" s="464">
        <v>90</v>
      </c>
      <c r="F1625" s="464"/>
      <c r="G1625" s="464">
        <f t="shared" ref="G1625:G1640" si="52">E1625*0.4</f>
        <v>36</v>
      </c>
      <c r="H1625" s="464">
        <f t="shared" ref="H1625:H1640" si="53">E1625*0.2</f>
        <v>18</v>
      </c>
      <c r="I1625" s="464">
        <f t="shared" ref="I1625:I1640" si="54">E1625*0.2</f>
        <v>18</v>
      </c>
      <c r="J1625" s="464">
        <f t="shared" ref="J1625:J1640" si="55">E1625*0.2</f>
        <v>18</v>
      </c>
    </row>
    <row r="1626" spans="1:10">
      <c r="A1626" s="82">
        <v>146</v>
      </c>
      <c r="B1626" s="460" t="s">
        <v>967</v>
      </c>
      <c r="C1626" s="100" t="s">
        <v>2411</v>
      </c>
      <c r="D1626" s="464" t="s">
        <v>286</v>
      </c>
      <c r="E1626" s="464">
        <v>200</v>
      </c>
      <c r="F1626" s="464"/>
      <c r="G1626" s="464">
        <f t="shared" si="52"/>
        <v>80</v>
      </c>
      <c r="H1626" s="464">
        <f t="shared" si="53"/>
        <v>40</v>
      </c>
      <c r="I1626" s="464">
        <f t="shared" si="54"/>
        <v>40</v>
      </c>
      <c r="J1626" s="464">
        <f t="shared" si="55"/>
        <v>40</v>
      </c>
    </row>
    <row r="1627" spans="1:10">
      <c r="A1627" s="82">
        <v>147</v>
      </c>
      <c r="B1627" s="799" t="s">
        <v>968</v>
      </c>
      <c r="C1627" s="100" t="s">
        <v>2412</v>
      </c>
      <c r="D1627" s="464" t="s">
        <v>286</v>
      </c>
      <c r="E1627" s="464">
        <v>200</v>
      </c>
      <c r="F1627" s="464"/>
      <c r="G1627" s="464">
        <f t="shared" si="52"/>
        <v>80</v>
      </c>
      <c r="H1627" s="464">
        <f t="shared" si="53"/>
        <v>40</v>
      </c>
      <c r="I1627" s="464">
        <f t="shared" si="54"/>
        <v>40</v>
      </c>
      <c r="J1627" s="464">
        <f t="shared" si="55"/>
        <v>40</v>
      </c>
    </row>
    <row r="1628" spans="1:10">
      <c r="A1628" s="82">
        <v>148</v>
      </c>
      <c r="B1628" s="460" t="s">
        <v>969</v>
      </c>
      <c r="C1628" s="100" t="s">
        <v>2413</v>
      </c>
      <c r="D1628" s="464" t="s">
        <v>286</v>
      </c>
      <c r="E1628" s="464">
        <v>10</v>
      </c>
      <c r="F1628" s="464"/>
      <c r="G1628" s="464">
        <f t="shared" si="52"/>
        <v>4</v>
      </c>
      <c r="H1628" s="464">
        <f t="shared" si="53"/>
        <v>2</v>
      </c>
      <c r="I1628" s="464">
        <f t="shared" si="54"/>
        <v>2</v>
      </c>
      <c r="J1628" s="464">
        <f t="shared" si="55"/>
        <v>2</v>
      </c>
    </row>
    <row r="1629" spans="1:10">
      <c r="A1629" s="82">
        <v>149</v>
      </c>
      <c r="B1629" s="460" t="s">
        <v>970</v>
      </c>
      <c r="C1629" s="100" t="s">
        <v>2414</v>
      </c>
      <c r="D1629" s="464" t="s">
        <v>286</v>
      </c>
      <c r="E1629" s="464">
        <v>90</v>
      </c>
      <c r="F1629" s="464"/>
      <c r="G1629" s="464">
        <f t="shared" si="52"/>
        <v>36</v>
      </c>
      <c r="H1629" s="464">
        <f t="shared" si="53"/>
        <v>18</v>
      </c>
      <c r="I1629" s="464">
        <f t="shared" si="54"/>
        <v>18</v>
      </c>
      <c r="J1629" s="464">
        <f t="shared" si="55"/>
        <v>18</v>
      </c>
    </row>
    <row r="1630" spans="1:10">
      <c r="A1630" s="82">
        <v>150</v>
      </c>
      <c r="B1630" s="460" t="s">
        <v>971</v>
      </c>
      <c r="C1630" s="100" t="s">
        <v>2415</v>
      </c>
      <c r="D1630" s="464" t="s">
        <v>286</v>
      </c>
      <c r="E1630" s="464">
        <v>45</v>
      </c>
      <c r="F1630" s="464"/>
      <c r="G1630" s="464">
        <f t="shared" si="52"/>
        <v>18</v>
      </c>
      <c r="H1630" s="464">
        <f t="shared" si="53"/>
        <v>9</v>
      </c>
      <c r="I1630" s="464">
        <f t="shared" si="54"/>
        <v>9</v>
      </c>
      <c r="J1630" s="464">
        <f t="shared" si="55"/>
        <v>9</v>
      </c>
    </row>
    <row r="1631" spans="1:10">
      <c r="A1631" s="82">
        <v>151</v>
      </c>
      <c r="B1631" s="460" t="s">
        <v>960</v>
      </c>
      <c r="C1631" s="100" t="s">
        <v>2416</v>
      </c>
      <c r="D1631" s="464" t="s">
        <v>286</v>
      </c>
      <c r="E1631" s="464">
        <v>180</v>
      </c>
      <c r="F1631" s="464"/>
      <c r="G1631" s="464">
        <f t="shared" si="52"/>
        <v>72</v>
      </c>
      <c r="H1631" s="464">
        <f t="shared" si="53"/>
        <v>36</v>
      </c>
      <c r="I1631" s="464">
        <f t="shared" si="54"/>
        <v>36</v>
      </c>
      <c r="J1631" s="464">
        <f t="shared" si="55"/>
        <v>36</v>
      </c>
    </row>
    <row r="1632" spans="1:10">
      <c r="A1632" s="82">
        <v>152</v>
      </c>
      <c r="B1632" s="790" t="s">
        <v>961</v>
      </c>
      <c r="C1632" s="100" t="s">
        <v>2417</v>
      </c>
      <c r="D1632" s="464" t="s">
        <v>286</v>
      </c>
      <c r="E1632" s="464">
        <v>300</v>
      </c>
      <c r="F1632" s="464"/>
      <c r="G1632" s="464">
        <f t="shared" si="52"/>
        <v>120</v>
      </c>
      <c r="H1632" s="464">
        <f t="shared" si="53"/>
        <v>60</v>
      </c>
      <c r="I1632" s="464">
        <f t="shared" si="54"/>
        <v>60</v>
      </c>
      <c r="J1632" s="464">
        <f t="shared" si="55"/>
        <v>60</v>
      </c>
    </row>
    <row r="1633" spans="1:10">
      <c r="A1633" s="82">
        <v>153</v>
      </c>
      <c r="B1633" s="790" t="s">
        <v>951</v>
      </c>
      <c r="C1633" s="100" t="s">
        <v>2418</v>
      </c>
      <c r="D1633" s="464" t="s">
        <v>286</v>
      </c>
      <c r="E1633" s="464">
        <v>240</v>
      </c>
      <c r="F1633" s="464"/>
      <c r="G1633" s="464">
        <f t="shared" si="52"/>
        <v>96</v>
      </c>
      <c r="H1633" s="464">
        <f t="shared" si="53"/>
        <v>48</v>
      </c>
      <c r="I1633" s="464">
        <f t="shared" si="54"/>
        <v>48</v>
      </c>
      <c r="J1633" s="464">
        <f t="shared" si="55"/>
        <v>48</v>
      </c>
    </row>
    <row r="1634" spans="1:10">
      <c r="A1634" s="82">
        <v>154</v>
      </c>
      <c r="B1634" s="790" t="s">
        <v>949</v>
      </c>
      <c r="C1634" s="100" t="s">
        <v>2419</v>
      </c>
      <c r="D1634" s="464" t="s">
        <v>286</v>
      </c>
      <c r="E1634" s="464">
        <v>10</v>
      </c>
      <c r="F1634" s="464"/>
      <c r="G1634" s="464">
        <f t="shared" si="52"/>
        <v>4</v>
      </c>
      <c r="H1634" s="464">
        <f t="shared" si="53"/>
        <v>2</v>
      </c>
      <c r="I1634" s="464">
        <f t="shared" si="54"/>
        <v>2</v>
      </c>
      <c r="J1634" s="464">
        <f t="shared" si="55"/>
        <v>2</v>
      </c>
    </row>
    <row r="1635" spans="1:10">
      <c r="A1635" s="82">
        <v>155</v>
      </c>
      <c r="B1635" s="790" t="s">
        <v>895</v>
      </c>
      <c r="C1635" s="100" t="s">
        <v>2420</v>
      </c>
      <c r="D1635" s="464" t="s">
        <v>286</v>
      </c>
      <c r="E1635" s="464">
        <v>90</v>
      </c>
      <c r="F1635" s="464"/>
      <c r="G1635" s="464">
        <f t="shared" si="52"/>
        <v>36</v>
      </c>
      <c r="H1635" s="464">
        <f t="shared" si="53"/>
        <v>18</v>
      </c>
      <c r="I1635" s="464">
        <f t="shared" si="54"/>
        <v>18</v>
      </c>
      <c r="J1635" s="464">
        <f t="shared" si="55"/>
        <v>18</v>
      </c>
    </row>
    <row r="1636" spans="1:10">
      <c r="A1636" s="82">
        <v>156</v>
      </c>
      <c r="B1636" s="790" t="s">
        <v>964</v>
      </c>
      <c r="C1636" s="100" t="s">
        <v>2421</v>
      </c>
      <c r="D1636" s="464" t="s">
        <v>286</v>
      </c>
      <c r="E1636" s="464">
        <v>360</v>
      </c>
      <c r="F1636" s="464"/>
      <c r="G1636" s="464">
        <f t="shared" si="52"/>
        <v>144</v>
      </c>
      <c r="H1636" s="464">
        <f t="shared" si="53"/>
        <v>72</v>
      </c>
      <c r="I1636" s="464">
        <f t="shared" si="54"/>
        <v>72</v>
      </c>
      <c r="J1636" s="464">
        <f t="shared" si="55"/>
        <v>72</v>
      </c>
    </row>
    <row r="1637" spans="1:10">
      <c r="A1637" s="82">
        <v>157</v>
      </c>
      <c r="B1637" s="790" t="s">
        <v>965</v>
      </c>
      <c r="C1637" s="100" t="s">
        <v>2422</v>
      </c>
      <c r="D1637" s="464" t="s">
        <v>286</v>
      </c>
      <c r="E1637" s="464">
        <v>90</v>
      </c>
      <c r="F1637" s="464"/>
      <c r="G1637" s="464">
        <f t="shared" si="52"/>
        <v>36</v>
      </c>
      <c r="H1637" s="464">
        <f t="shared" si="53"/>
        <v>18</v>
      </c>
      <c r="I1637" s="464">
        <f t="shared" si="54"/>
        <v>18</v>
      </c>
      <c r="J1637" s="464">
        <f t="shared" si="55"/>
        <v>18</v>
      </c>
    </row>
    <row r="1638" spans="1:10">
      <c r="A1638" s="82">
        <v>158</v>
      </c>
      <c r="B1638" s="790" t="s">
        <v>972</v>
      </c>
      <c r="C1638" s="100" t="s">
        <v>2423</v>
      </c>
      <c r="D1638" s="464" t="s">
        <v>286</v>
      </c>
      <c r="E1638" s="464">
        <v>10</v>
      </c>
      <c r="F1638" s="464"/>
      <c r="G1638" s="464">
        <f t="shared" si="52"/>
        <v>4</v>
      </c>
      <c r="H1638" s="464">
        <f t="shared" si="53"/>
        <v>2</v>
      </c>
      <c r="I1638" s="464">
        <f t="shared" si="54"/>
        <v>2</v>
      </c>
      <c r="J1638" s="464">
        <f t="shared" si="55"/>
        <v>2</v>
      </c>
    </row>
    <row r="1639" spans="1:10">
      <c r="A1639" s="82">
        <v>159</v>
      </c>
      <c r="B1639" s="460" t="s">
        <v>967</v>
      </c>
      <c r="C1639" s="100" t="s">
        <v>2424</v>
      </c>
      <c r="D1639" s="464" t="s">
        <v>286</v>
      </c>
      <c r="E1639" s="464">
        <v>100</v>
      </c>
      <c r="F1639" s="464"/>
      <c r="G1639" s="464">
        <f t="shared" si="52"/>
        <v>40</v>
      </c>
      <c r="H1639" s="464">
        <f t="shared" si="53"/>
        <v>20</v>
      </c>
      <c r="I1639" s="464">
        <f t="shared" si="54"/>
        <v>20</v>
      </c>
      <c r="J1639" s="464">
        <f t="shared" si="55"/>
        <v>20</v>
      </c>
    </row>
    <row r="1640" spans="1:10">
      <c r="A1640" s="82">
        <v>160</v>
      </c>
      <c r="B1640" s="790" t="s">
        <v>973</v>
      </c>
      <c r="C1640" s="100" t="s">
        <v>2425</v>
      </c>
      <c r="D1640" s="464" t="s">
        <v>286</v>
      </c>
      <c r="E1640" s="464">
        <v>90</v>
      </c>
      <c r="F1640" s="464"/>
      <c r="G1640" s="464">
        <f t="shared" si="52"/>
        <v>36</v>
      </c>
      <c r="H1640" s="464">
        <f t="shared" si="53"/>
        <v>18</v>
      </c>
      <c r="I1640" s="464">
        <f t="shared" si="54"/>
        <v>18</v>
      </c>
      <c r="J1640" s="464">
        <f t="shared" si="55"/>
        <v>18</v>
      </c>
    </row>
    <row r="1641" spans="1:10">
      <c r="A1641" s="1083" t="s">
        <v>974</v>
      </c>
      <c r="B1641" s="1084"/>
      <c r="C1641" s="1084"/>
      <c r="D1641" s="1084"/>
      <c r="E1641" s="1084"/>
      <c r="F1641" s="1084"/>
      <c r="G1641" s="1084"/>
      <c r="H1641" s="1084"/>
      <c r="I1641" s="1084"/>
      <c r="J1641" s="1085"/>
    </row>
    <row r="1642" spans="1:10">
      <c r="A1642" s="82">
        <v>161</v>
      </c>
      <c r="B1642" s="800" t="s">
        <v>975</v>
      </c>
      <c r="C1642" s="51" t="s">
        <v>2426</v>
      </c>
      <c r="D1642" s="464" t="s">
        <v>286</v>
      </c>
      <c r="E1642" s="464">
        <v>36</v>
      </c>
      <c r="F1642" s="464"/>
      <c r="G1642" s="464">
        <f>E1642/2</f>
        <v>18</v>
      </c>
      <c r="H1642" s="464">
        <f>E1642/2</f>
        <v>18</v>
      </c>
      <c r="I1642" s="464"/>
      <c r="J1642" s="464"/>
    </row>
    <row r="1643" spans="1:10">
      <c r="A1643" s="82">
        <v>162</v>
      </c>
      <c r="B1643" s="800" t="s">
        <v>976</v>
      </c>
      <c r="C1643" s="51" t="s">
        <v>2427</v>
      </c>
      <c r="D1643" s="464" t="s">
        <v>286</v>
      </c>
      <c r="E1643" s="464">
        <v>18</v>
      </c>
      <c r="F1643" s="464"/>
      <c r="G1643" s="464">
        <f>E1643/2</f>
        <v>9</v>
      </c>
      <c r="H1643" s="464">
        <f>E1643/2</f>
        <v>9</v>
      </c>
      <c r="I1643" s="464"/>
      <c r="J1643" s="464"/>
    </row>
    <row r="1644" spans="1:10">
      <c r="A1644" s="82">
        <v>163</v>
      </c>
      <c r="B1644" s="800" t="s">
        <v>975</v>
      </c>
      <c r="C1644" s="51" t="s">
        <v>2428</v>
      </c>
      <c r="D1644" s="464" t="s">
        <v>286</v>
      </c>
      <c r="E1644" s="464">
        <v>120</v>
      </c>
      <c r="F1644" s="464"/>
      <c r="G1644" s="464">
        <f>E1644/2</f>
        <v>60</v>
      </c>
      <c r="H1644" s="464">
        <f>E1644/2</f>
        <v>60</v>
      </c>
      <c r="I1644" s="464"/>
      <c r="J1644" s="464"/>
    </row>
    <row r="1645" spans="1:10">
      <c r="A1645" s="82">
        <v>164</v>
      </c>
      <c r="B1645" s="800" t="s">
        <v>976</v>
      </c>
      <c r="C1645" s="51" t="s">
        <v>2429</v>
      </c>
      <c r="D1645" s="464" t="s">
        <v>286</v>
      </c>
      <c r="E1645" s="464">
        <v>180</v>
      </c>
      <c r="F1645" s="464"/>
      <c r="G1645" s="464">
        <f>E1645/2</f>
        <v>90</v>
      </c>
      <c r="H1645" s="464">
        <f>E1645/2</f>
        <v>90</v>
      </c>
      <c r="I1645" s="464"/>
      <c r="J1645" s="464"/>
    </row>
    <row r="1646" spans="1:10">
      <c r="A1646" s="82">
        <v>165</v>
      </c>
      <c r="B1646" s="800" t="s">
        <v>977</v>
      </c>
      <c r="C1646" s="51" t="s">
        <v>2430</v>
      </c>
      <c r="D1646" s="464" t="s">
        <v>286</v>
      </c>
      <c r="E1646" s="464">
        <v>90</v>
      </c>
      <c r="F1646" s="464"/>
      <c r="G1646" s="464">
        <f>E1646/2</f>
        <v>45</v>
      </c>
      <c r="H1646" s="464">
        <f>E1646/2</f>
        <v>45</v>
      </c>
      <c r="I1646" s="464"/>
      <c r="J1646" s="464"/>
    </row>
    <row r="1647" spans="1:10">
      <c r="A1647" s="1026" t="s">
        <v>978</v>
      </c>
      <c r="B1647" s="1027"/>
      <c r="C1647" s="1027"/>
      <c r="D1647" s="1027"/>
      <c r="E1647" s="1027"/>
      <c r="F1647" s="1027"/>
      <c r="G1647" s="1027"/>
      <c r="H1647" s="1027"/>
      <c r="I1647" s="1027"/>
      <c r="J1647" s="1028"/>
    </row>
    <row r="1648" spans="1:10">
      <c r="A1648" s="82">
        <v>166</v>
      </c>
      <c r="B1648" s="788" t="s">
        <v>979</v>
      </c>
      <c r="C1648" s="464" t="s">
        <v>2431</v>
      </c>
      <c r="D1648" s="464" t="s">
        <v>286</v>
      </c>
      <c r="E1648" s="464">
        <v>50</v>
      </c>
      <c r="F1648" s="464"/>
      <c r="G1648" s="464">
        <f t="shared" ref="G1648:G1662" si="56">E1648*0.4</f>
        <v>20</v>
      </c>
      <c r="H1648" s="464">
        <f t="shared" ref="H1648:H1662" si="57">E1648*0.2</f>
        <v>10</v>
      </c>
      <c r="I1648" s="464">
        <f t="shared" ref="I1648:I1662" si="58">E1648*0.2</f>
        <v>10</v>
      </c>
      <c r="J1648" s="464">
        <f t="shared" ref="J1648:J1662" si="59">E1648*0.2</f>
        <v>10</v>
      </c>
    </row>
    <row r="1649" spans="1:10">
      <c r="A1649" s="82">
        <v>167</v>
      </c>
      <c r="B1649" s="788" t="s">
        <v>980</v>
      </c>
      <c r="C1649" s="464" t="s">
        <v>2432</v>
      </c>
      <c r="D1649" s="464" t="s">
        <v>286</v>
      </c>
      <c r="E1649" s="464">
        <v>60</v>
      </c>
      <c r="F1649" s="464"/>
      <c r="G1649" s="464">
        <f t="shared" si="56"/>
        <v>24</v>
      </c>
      <c r="H1649" s="464">
        <f t="shared" si="57"/>
        <v>12</v>
      </c>
      <c r="I1649" s="464">
        <f t="shared" si="58"/>
        <v>12</v>
      </c>
      <c r="J1649" s="464">
        <f t="shared" si="59"/>
        <v>12</v>
      </c>
    </row>
    <row r="1650" spans="1:10">
      <c r="A1650" s="82">
        <v>168</v>
      </c>
      <c r="B1650" s="788" t="s">
        <v>981</v>
      </c>
      <c r="C1650" s="464" t="s">
        <v>2433</v>
      </c>
      <c r="D1650" s="464" t="s">
        <v>286</v>
      </c>
      <c r="E1650" s="464">
        <v>100</v>
      </c>
      <c r="F1650" s="464"/>
      <c r="G1650" s="464">
        <f t="shared" si="56"/>
        <v>40</v>
      </c>
      <c r="H1650" s="464">
        <f t="shared" si="57"/>
        <v>20</v>
      </c>
      <c r="I1650" s="464">
        <f t="shared" si="58"/>
        <v>20</v>
      </c>
      <c r="J1650" s="464">
        <f t="shared" si="59"/>
        <v>20</v>
      </c>
    </row>
    <row r="1651" spans="1:10">
      <c r="A1651" s="82">
        <v>169</v>
      </c>
      <c r="B1651" s="788" t="s">
        <v>982</v>
      </c>
      <c r="C1651" s="464" t="s">
        <v>2432</v>
      </c>
      <c r="D1651" s="464" t="s">
        <v>286</v>
      </c>
      <c r="E1651" s="464">
        <v>150</v>
      </c>
      <c r="F1651" s="464"/>
      <c r="G1651" s="464">
        <f t="shared" si="56"/>
        <v>60</v>
      </c>
      <c r="H1651" s="464">
        <f t="shared" si="57"/>
        <v>30</v>
      </c>
      <c r="I1651" s="464">
        <f t="shared" si="58"/>
        <v>30</v>
      </c>
      <c r="J1651" s="464">
        <f t="shared" si="59"/>
        <v>30</v>
      </c>
    </row>
    <row r="1652" spans="1:10">
      <c r="A1652" s="82">
        <v>170</v>
      </c>
      <c r="B1652" s="788" t="s">
        <v>983</v>
      </c>
      <c r="C1652" s="464" t="s">
        <v>2434</v>
      </c>
      <c r="D1652" s="464" t="s">
        <v>286</v>
      </c>
      <c r="E1652" s="464">
        <v>220</v>
      </c>
      <c r="F1652" s="464"/>
      <c r="G1652" s="464">
        <f t="shared" si="56"/>
        <v>88</v>
      </c>
      <c r="H1652" s="464">
        <f t="shared" si="57"/>
        <v>44</v>
      </c>
      <c r="I1652" s="464">
        <f t="shared" si="58"/>
        <v>44</v>
      </c>
      <c r="J1652" s="464">
        <f t="shared" si="59"/>
        <v>44</v>
      </c>
    </row>
    <row r="1653" spans="1:10">
      <c r="A1653" s="82">
        <v>171</v>
      </c>
      <c r="B1653" s="788" t="s">
        <v>984</v>
      </c>
      <c r="C1653" s="464" t="s">
        <v>2435</v>
      </c>
      <c r="D1653" s="464" t="s">
        <v>286</v>
      </c>
      <c r="E1653" s="464">
        <v>300</v>
      </c>
      <c r="F1653" s="464"/>
      <c r="G1653" s="464">
        <f t="shared" si="56"/>
        <v>120</v>
      </c>
      <c r="H1653" s="464">
        <f t="shared" si="57"/>
        <v>60</v>
      </c>
      <c r="I1653" s="464">
        <f t="shared" si="58"/>
        <v>60</v>
      </c>
      <c r="J1653" s="464">
        <f t="shared" si="59"/>
        <v>60</v>
      </c>
    </row>
    <row r="1654" spans="1:10">
      <c r="A1654" s="82">
        <v>172</v>
      </c>
      <c r="B1654" s="788" t="s">
        <v>985</v>
      </c>
      <c r="C1654" s="464" t="s">
        <v>2436</v>
      </c>
      <c r="D1654" s="464" t="s">
        <v>286</v>
      </c>
      <c r="E1654" s="464">
        <v>20</v>
      </c>
      <c r="F1654" s="464"/>
      <c r="G1654" s="464">
        <f t="shared" si="56"/>
        <v>8</v>
      </c>
      <c r="H1654" s="464">
        <f t="shared" si="57"/>
        <v>4</v>
      </c>
      <c r="I1654" s="464">
        <f t="shared" si="58"/>
        <v>4</v>
      </c>
      <c r="J1654" s="464">
        <f t="shared" si="59"/>
        <v>4</v>
      </c>
    </row>
    <row r="1655" spans="1:10">
      <c r="A1655" s="82">
        <v>173</v>
      </c>
      <c r="B1655" s="788" t="s">
        <v>986</v>
      </c>
      <c r="C1655" s="464" t="s">
        <v>2437</v>
      </c>
      <c r="D1655" s="464" t="s">
        <v>286</v>
      </c>
      <c r="E1655" s="464">
        <v>20</v>
      </c>
      <c r="F1655" s="464"/>
      <c r="G1655" s="464">
        <f t="shared" si="56"/>
        <v>8</v>
      </c>
      <c r="H1655" s="464">
        <f t="shared" si="57"/>
        <v>4</v>
      </c>
      <c r="I1655" s="464">
        <f t="shared" si="58"/>
        <v>4</v>
      </c>
      <c r="J1655" s="464">
        <f t="shared" si="59"/>
        <v>4</v>
      </c>
    </row>
    <row r="1656" spans="1:10">
      <c r="A1656" s="82">
        <v>174</v>
      </c>
      <c r="B1656" s="788" t="s">
        <v>987</v>
      </c>
      <c r="C1656" s="464" t="s">
        <v>2438</v>
      </c>
      <c r="D1656" s="464" t="s">
        <v>286</v>
      </c>
      <c r="E1656" s="464">
        <v>30</v>
      </c>
      <c r="F1656" s="464"/>
      <c r="G1656" s="464">
        <f t="shared" si="56"/>
        <v>12</v>
      </c>
      <c r="H1656" s="464">
        <f t="shared" si="57"/>
        <v>6</v>
      </c>
      <c r="I1656" s="464">
        <f t="shared" si="58"/>
        <v>6</v>
      </c>
      <c r="J1656" s="464">
        <f t="shared" si="59"/>
        <v>6</v>
      </c>
    </row>
    <row r="1657" spans="1:10">
      <c r="A1657" s="82">
        <v>175</v>
      </c>
      <c r="B1657" s="790" t="s">
        <v>988</v>
      </c>
      <c r="C1657" s="464" t="s">
        <v>2439</v>
      </c>
      <c r="D1657" s="464" t="s">
        <v>286</v>
      </c>
      <c r="E1657" s="464">
        <v>100</v>
      </c>
      <c r="F1657" s="464"/>
      <c r="G1657" s="464">
        <f t="shared" si="56"/>
        <v>40</v>
      </c>
      <c r="H1657" s="464">
        <f t="shared" si="57"/>
        <v>20</v>
      </c>
      <c r="I1657" s="464">
        <f t="shared" si="58"/>
        <v>20</v>
      </c>
      <c r="J1657" s="464">
        <f t="shared" si="59"/>
        <v>20</v>
      </c>
    </row>
    <row r="1658" spans="1:10">
      <c r="A1658" s="82">
        <v>176</v>
      </c>
      <c r="B1658" s="790" t="s">
        <v>975</v>
      </c>
      <c r="C1658" s="464" t="s">
        <v>2440</v>
      </c>
      <c r="D1658" s="464" t="s">
        <v>286</v>
      </c>
      <c r="E1658" s="464">
        <v>100</v>
      </c>
      <c r="F1658" s="464"/>
      <c r="G1658" s="464">
        <f t="shared" si="56"/>
        <v>40</v>
      </c>
      <c r="H1658" s="464">
        <f t="shared" si="57"/>
        <v>20</v>
      </c>
      <c r="I1658" s="464">
        <f t="shared" si="58"/>
        <v>20</v>
      </c>
      <c r="J1658" s="464">
        <f t="shared" si="59"/>
        <v>20</v>
      </c>
    </row>
    <row r="1659" spans="1:10">
      <c r="A1659" s="82">
        <v>177</v>
      </c>
      <c r="B1659" s="790" t="s">
        <v>976</v>
      </c>
      <c r="C1659" s="464" t="s">
        <v>2441</v>
      </c>
      <c r="D1659" s="464" t="s">
        <v>286</v>
      </c>
      <c r="E1659" s="464">
        <v>200</v>
      </c>
      <c r="F1659" s="464"/>
      <c r="G1659" s="464">
        <f t="shared" si="56"/>
        <v>80</v>
      </c>
      <c r="H1659" s="464">
        <f t="shared" si="57"/>
        <v>40</v>
      </c>
      <c r="I1659" s="464">
        <f t="shared" si="58"/>
        <v>40</v>
      </c>
      <c r="J1659" s="464">
        <f t="shared" si="59"/>
        <v>40</v>
      </c>
    </row>
    <row r="1660" spans="1:10">
      <c r="A1660" s="82">
        <v>178</v>
      </c>
      <c r="B1660" s="790" t="s">
        <v>977</v>
      </c>
      <c r="C1660" s="52" t="s">
        <v>2442</v>
      </c>
      <c r="D1660" s="464" t="s">
        <v>286</v>
      </c>
      <c r="E1660" s="464">
        <v>40</v>
      </c>
      <c r="F1660" s="464"/>
      <c r="G1660" s="464">
        <f t="shared" si="56"/>
        <v>16</v>
      </c>
      <c r="H1660" s="464">
        <f t="shared" si="57"/>
        <v>8</v>
      </c>
      <c r="I1660" s="464">
        <f t="shared" si="58"/>
        <v>8</v>
      </c>
      <c r="J1660" s="464">
        <f t="shared" si="59"/>
        <v>8</v>
      </c>
    </row>
    <row r="1661" spans="1:10">
      <c r="A1661" s="82">
        <v>179</v>
      </c>
      <c r="B1661" s="786" t="s">
        <v>989</v>
      </c>
      <c r="C1661" s="51"/>
      <c r="D1661" s="465" t="s">
        <v>286</v>
      </c>
      <c r="E1661" s="465">
        <v>50</v>
      </c>
      <c r="F1661" s="465"/>
      <c r="G1661" s="465">
        <f t="shared" si="56"/>
        <v>20</v>
      </c>
      <c r="H1661" s="465">
        <f t="shared" si="57"/>
        <v>10</v>
      </c>
      <c r="I1661" s="465">
        <f t="shared" si="58"/>
        <v>10</v>
      </c>
      <c r="J1661" s="465">
        <f t="shared" si="59"/>
        <v>10</v>
      </c>
    </row>
    <row r="1662" spans="1:10">
      <c r="A1662" s="82">
        <v>180</v>
      </c>
      <c r="B1662" s="786" t="s">
        <v>990</v>
      </c>
      <c r="C1662" s="51"/>
      <c r="D1662" s="465" t="s">
        <v>286</v>
      </c>
      <c r="E1662" s="465">
        <v>50</v>
      </c>
      <c r="F1662" s="465"/>
      <c r="G1662" s="465">
        <f t="shared" si="56"/>
        <v>20</v>
      </c>
      <c r="H1662" s="465">
        <f t="shared" si="57"/>
        <v>10</v>
      </c>
      <c r="I1662" s="465">
        <f t="shared" si="58"/>
        <v>10</v>
      </c>
      <c r="J1662" s="465">
        <f t="shared" si="59"/>
        <v>10</v>
      </c>
    </row>
    <row r="1663" spans="1:10">
      <c r="A1663" s="1026" t="s">
        <v>991</v>
      </c>
      <c r="B1663" s="1027"/>
      <c r="C1663" s="1027"/>
      <c r="D1663" s="1027"/>
      <c r="E1663" s="1027"/>
      <c r="F1663" s="1027"/>
      <c r="G1663" s="1027"/>
      <c r="H1663" s="1027"/>
      <c r="I1663" s="1027"/>
      <c r="J1663" s="1028"/>
    </row>
    <row r="1664" spans="1:10">
      <c r="A1664" s="82">
        <v>181</v>
      </c>
      <c r="B1664" s="790" t="s">
        <v>992</v>
      </c>
      <c r="C1664" s="52" t="s">
        <v>2443</v>
      </c>
      <c r="D1664" s="464" t="s">
        <v>286</v>
      </c>
      <c r="E1664" s="464">
        <v>10</v>
      </c>
      <c r="F1664" s="464"/>
      <c r="G1664" s="464"/>
      <c r="H1664" s="464">
        <v>10</v>
      </c>
      <c r="I1664" s="464"/>
      <c r="J1664" s="464"/>
    </row>
    <row r="1665" spans="1:10">
      <c r="A1665" s="82">
        <v>182</v>
      </c>
      <c r="B1665" s="790" t="s">
        <v>993</v>
      </c>
      <c r="C1665" s="52" t="s">
        <v>2444</v>
      </c>
      <c r="D1665" s="464" t="s">
        <v>286</v>
      </c>
      <c r="E1665" s="464">
        <v>10</v>
      </c>
      <c r="F1665" s="464"/>
      <c r="G1665" s="464"/>
      <c r="H1665" s="464">
        <v>10</v>
      </c>
      <c r="I1665" s="464"/>
      <c r="J1665" s="464"/>
    </row>
    <row r="1666" spans="1:10">
      <c r="A1666" s="82">
        <v>183</v>
      </c>
      <c r="B1666" s="790" t="s">
        <v>994</v>
      </c>
      <c r="C1666" s="52" t="s">
        <v>2445</v>
      </c>
      <c r="D1666" s="464" t="s">
        <v>286</v>
      </c>
      <c r="E1666" s="464">
        <v>10</v>
      </c>
      <c r="F1666" s="464"/>
      <c r="G1666" s="464"/>
      <c r="H1666" s="464">
        <v>10</v>
      </c>
      <c r="I1666" s="464"/>
      <c r="J1666" s="464"/>
    </row>
    <row r="1667" spans="1:10">
      <c r="A1667" s="82">
        <v>184</v>
      </c>
      <c r="B1667" s="790" t="s">
        <v>995</v>
      </c>
      <c r="C1667" s="52"/>
      <c r="D1667" s="464" t="s">
        <v>286</v>
      </c>
      <c r="E1667" s="464">
        <v>70</v>
      </c>
      <c r="F1667" s="464"/>
      <c r="G1667" s="464">
        <f t="shared" ref="G1667:G1684" si="60">E1667*0.4</f>
        <v>28</v>
      </c>
      <c r="H1667" s="464">
        <f t="shared" ref="H1667:H1684" si="61">E1667*0.2</f>
        <v>14</v>
      </c>
      <c r="I1667" s="464">
        <f t="shared" ref="I1667:I1684" si="62">E1667*0.2</f>
        <v>14</v>
      </c>
      <c r="J1667" s="464">
        <f t="shared" ref="J1667:J1684" si="63">E1667*0.2</f>
        <v>14</v>
      </c>
    </row>
    <row r="1668" spans="1:10">
      <c r="A1668" s="82">
        <v>185</v>
      </c>
      <c r="B1668" s="790" t="s">
        <v>996</v>
      </c>
      <c r="C1668" s="52"/>
      <c r="D1668" s="464" t="s">
        <v>286</v>
      </c>
      <c r="E1668" s="464">
        <v>100</v>
      </c>
      <c r="F1668" s="464"/>
      <c r="G1668" s="464">
        <f t="shared" si="60"/>
        <v>40</v>
      </c>
      <c r="H1668" s="464">
        <f t="shared" si="61"/>
        <v>20</v>
      </c>
      <c r="I1668" s="464">
        <f t="shared" si="62"/>
        <v>20</v>
      </c>
      <c r="J1668" s="464">
        <f t="shared" si="63"/>
        <v>20</v>
      </c>
    </row>
    <row r="1669" spans="1:10">
      <c r="A1669" s="82">
        <v>186</v>
      </c>
      <c r="B1669" s="790" t="s">
        <v>997</v>
      </c>
      <c r="C1669" s="52"/>
      <c r="D1669" s="464" t="s">
        <v>286</v>
      </c>
      <c r="E1669" s="464">
        <v>30</v>
      </c>
      <c r="F1669" s="464"/>
      <c r="G1669" s="464">
        <f t="shared" si="60"/>
        <v>12</v>
      </c>
      <c r="H1669" s="464">
        <f t="shared" si="61"/>
        <v>6</v>
      </c>
      <c r="I1669" s="464">
        <f t="shared" si="62"/>
        <v>6</v>
      </c>
      <c r="J1669" s="464">
        <f t="shared" si="63"/>
        <v>6</v>
      </c>
    </row>
    <row r="1670" spans="1:10">
      <c r="A1670" s="82">
        <v>187</v>
      </c>
      <c r="B1670" s="790" t="s">
        <v>998</v>
      </c>
      <c r="C1670" s="52" t="s">
        <v>2446</v>
      </c>
      <c r="D1670" s="464" t="s">
        <v>286</v>
      </c>
      <c r="E1670" s="464">
        <v>20</v>
      </c>
      <c r="F1670" s="464"/>
      <c r="G1670" s="464">
        <f t="shared" si="60"/>
        <v>8</v>
      </c>
      <c r="H1670" s="464">
        <f t="shared" si="61"/>
        <v>4</v>
      </c>
      <c r="I1670" s="464">
        <f t="shared" si="62"/>
        <v>4</v>
      </c>
      <c r="J1670" s="464">
        <f t="shared" si="63"/>
        <v>4</v>
      </c>
    </row>
    <row r="1671" spans="1:10">
      <c r="A1671" s="82">
        <v>188</v>
      </c>
      <c r="B1671" s="790" t="s">
        <v>999</v>
      </c>
      <c r="C1671" s="52" t="s">
        <v>2447</v>
      </c>
      <c r="D1671" s="464" t="s">
        <v>286</v>
      </c>
      <c r="E1671" s="464">
        <v>20</v>
      </c>
      <c r="F1671" s="464"/>
      <c r="G1671" s="464">
        <f t="shared" si="60"/>
        <v>8</v>
      </c>
      <c r="H1671" s="464">
        <f t="shared" si="61"/>
        <v>4</v>
      </c>
      <c r="I1671" s="464">
        <f t="shared" si="62"/>
        <v>4</v>
      </c>
      <c r="J1671" s="464">
        <f t="shared" si="63"/>
        <v>4</v>
      </c>
    </row>
    <row r="1672" spans="1:10">
      <c r="A1672" s="82">
        <v>189</v>
      </c>
      <c r="B1672" s="790" t="s">
        <v>1000</v>
      </c>
      <c r="C1672" s="52"/>
      <c r="D1672" s="464" t="s">
        <v>286</v>
      </c>
      <c r="E1672" s="464">
        <v>20</v>
      </c>
      <c r="F1672" s="464"/>
      <c r="G1672" s="464">
        <f t="shared" si="60"/>
        <v>8</v>
      </c>
      <c r="H1672" s="464">
        <f t="shared" si="61"/>
        <v>4</v>
      </c>
      <c r="I1672" s="464">
        <f t="shared" si="62"/>
        <v>4</v>
      </c>
      <c r="J1672" s="464">
        <f t="shared" si="63"/>
        <v>4</v>
      </c>
    </row>
    <row r="1673" spans="1:10">
      <c r="A1673" s="82">
        <v>190</v>
      </c>
      <c r="B1673" s="786" t="s">
        <v>1001</v>
      </c>
      <c r="C1673" s="51" t="s">
        <v>2448</v>
      </c>
      <c r="D1673" s="465" t="s">
        <v>286</v>
      </c>
      <c r="E1673" s="465">
        <v>100</v>
      </c>
      <c r="F1673" s="465"/>
      <c r="G1673" s="465">
        <f t="shared" si="60"/>
        <v>40</v>
      </c>
      <c r="H1673" s="465">
        <f t="shared" si="61"/>
        <v>20</v>
      </c>
      <c r="I1673" s="465">
        <f t="shared" si="62"/>
        <v>20</v>
      </c>
      <c r="J1673" s="465">
        <f t="shared" si="63"/>
        <v>20</v>
      </c>
    </row>
    <row r="1674" spans="1:10">
      <c r="A1674" s="82">
        <v>191</v>
      </c>
      <c r="B1674" s="786" t="s">
        <v>1002</v>
      </c>
      <c r="C1674" s="51" t="s">
        <v>2449</v>
      </c>
      <c r="D1674" s="465" t="s">
        <v>286</v>
      </c>
      <c r="E1674" s="465">
        <v>100</v>
      </c>
      <c r="F1674" s="465"/>
      <c r="G1674" s="465">
        <f t="shared" si="60"/>
        <v>40</v>
      </c>
      <c r="H1674" s="465">
        <f t="shared" si="61"/>
        <v>20</v>
      </c>
      <c r="I1674" s="465">
        <f t="shared" si="62"/>
        <v>20</v>
      </c>
      <c r="J1674" s="465">
        <f t="shared" si="63"/>
        <v>20</v>
      </c>
    </row>
    <row r="1675" spans="1:10">
      <c r="A1675" s="82">
        <v>192</v>
      </c>
      <c r="B1675" s="786" t="s">
        <v>1003</v>
      </c>
      <c r="C1675" s="51"/>
      <c r="D1675" s="465" t="s">
        <v>286</v>
      </c>
      <c r="E1675" s="465">
        <v>100</v>
      </c>
      <c r="F1675" s="465"/>
      <c r="G1675" s="465">
        <f t="shared" si="60"/>
        <v>40</v>
      </c>
      <c r="H1675" s="465">
        <f t="shared" si="61"/>
        <v>20</v>
      </c>
      <c r="I1675" s="465">
        <f t="shared" si="62"/>
        <v>20</v>
      </c>
      <c r="J1675" s="465">
        <f t="shared" si="63"/>
        <v>20</v>
      </c>
    </row>
    <row r="1676" spans="1:10">
      <c r="A1676" s="82">
        <v>193</v>
      </c>
      <c r="B1676" s="788" t="s">
        <v>2450</v>
      </c>
      <c r="C1676" s="465" t="s">
        <v>2451</v>
      </c>
      <c r="D1676" s="465" t="s">
        <v>286</v>
      </c>
      <c r="E1676" s="465">
        <v>50</v>
      </c>
      <c r="F1676" s="465"/>
      <c r="G1676" s="465">
        <f t="shared" si="60"/>
        <v>20</v>
      </c>
      <c r="H1676" s="465">
        <f t="shared" si="61"/>
        <v>10</v>
      </c>
      <c r="I1676" s="465">
        <f t="shared" si="62"/>
        <v>10</v>
      </c>
      <c r="J1676" s="465">
        <f t="shared" si="63"/>
        <v>10</v>
      </c>
    </row>
    <row r="1677" spans="1:10">
      <c r="A1677" s="82">
        <v>194</v>
      </c>
      <c r="B1677" s="788" t="s">
        <v>2452</v>
      </c>
      <c r="C1677" s="465" t="s">
        <v>2453</v>
      </c>
      <c r="D1677" s="465" t="s">
        <v>286</v>
      </c>
      <c r="E1677" s="465">
        <v>50</v>
      </c>
      <c r="F1677" s="465"/>
      <c r="G1677" s="465">
        <f t="shared" si="60"/>
        <v>20</v>
      </c>
      <c r="H1677" s="465">
        <f t="shared" si="61"/>
        <v>10</v>
      </c>
      <c r="I1677" s="465">
        <f t="shared" si="62"/>
        <v>10</v>
      </c>
      <c r="J1677" s="465">
        <f t="shared" si="63"/>
        <v>10</v>
      </c>
    </row>
    <row r="1678" spans="1:10">
      <c r="A1678" s="82">
        <v>195</v>
      </c>
      <c r="B1678" s="788" t="s">
        <v>2454</v>
      </c>
      <c r="C1678" s="465" t="s">
        <v>2455</v>
      </c>
      <c r="D1678" s="465" t="s">
        <v>286</v>
      </c>
      <c r="E1678" s="465">
        <v>50</v>
      </c>
      <c r="F1678" s="465"/>
      <c r="G1678" s="465">
        <f t="shared" si="60"/>
        <v>20</v>
      </c>
      <c r="H1678" s="465">
        <f t="shared" si="61"/>
        <v>10</v>
      </c>
      <c r="I1678" s="465">
        <f t="shared" si="62"/>
        <v>10</v>
      </c>
      <c r="J1678" s="465">
        <f t="shared" si="63"/>
        <v>10</v>
      </c>
    </row>
    <row r="1679" spans="1:10">
      <c r="A1679" s="82">
        <v>196</v>
      </c>
      <c r="B1679" s="788" t="s">
        <v>2456</v>
      </c>
      <c r="C1679" s="465" t="s">
        <v>2457</v>
      </c>
      <c r="D1679" s="465" t="s">
        <v>286</v>
      </c>
      <c r="E1679" s="465">
        <v>100</v>
      </c>
      <c r="F1679" s="465"/>
      <c r="G1679" s="465">
        <f t="shared" si="60"/>
        <v>40</v>
      </c>
      <c r="H1679" s="465">
        <f t="shared" si="61"/>
        <v>20</v>
      </c>
      <c r="I1679" s="465">
        <f t="shared" si="62"/>
        <v>20</v>
      </c>
      <c r="J1679" s="465">
        <f t="shared" si="63"/>
        <v>20</v>
      </c>
    </row>
    <row r="1680" spans="1:10">
      <c r="A1680" s="82">
        <v>197</v>
      </c>
      <c r="B1680" s="788" t="s">
        <v>2458</v>
      </c>
      <c r="C1680" s="465" t="s">
        <v>2459</v>
      </c>
      <c r="D1680" s="465" t="s">
        <v>286</v>
      </c>
      <c r="E1680" s="465">
        <v>100</v>
      </c>
      <c r="F1680" s="465"/>
      <c r="G1680" s="465">
        <f t="shared" si="60"/>
        <v>40</v>
      </c>
      <c r="H1680" s="465">
        <f t="shared" si="61"/>
        <v>20</v>
      </c>
      <c r="I1680" s="465">
        <f t="shared" si="62"/>
        <v>20</v>
      </c>
      <c r="J1680" s="465">
        <f t="shared" si="63"/>
        <v>20</v>
      </c>
    </row>
    <row r="1681" spans="1:10">
      <c r="A1681" s="82">
        <v>198</v>
      </c>
      <c r="B1681" s="788" t="s">
        <v>2460</v>
      </c>
      <c r="C1681" s="465" t="s">
        <v>2461</v>
      </c>
      <c r="D1681" s="465" t="s">
        <v>286</v>
      </c>
      <c r="E1681" s="465">
        <v>100</v>
      </c>
      <c r="F1681" s="465"/>
      <c r="G1681" s="465">
        <f t="shared" si="60"/>
        <v>40</v>
      </c>
      <c r="H1681" s="465">
        <f t="shared" si="61"/>
        <v>20</v>
      </c>
      <c r="I1681" s="465">
        <f t="shared" si="62"/>
        <v>20</v>
      </c>
      <c r="J1681" s="465">
        <f t="shared" si="63"/>
        <v>20</v>
      </c>
    </row>
    <row r="1682" spans="1:10">
      <c r="A1682" s="82">
        <v>199</v>
      </c>
      <c r="B1682" s="788" t="s">
        <v>2462</v>
      </c>
      <c r="C1682" s="465"/>
      <c r="D1682" s="465" t="s">
        <v>286</v>
      </c>
      <c r="E1682" s="465">
        <v>30</v>
      </c>
      <c r="F1682" s="465"/>
      <c r="G1682" s="465">
        <f t="shared" si="60"/>
        <v>12</v>
      </c>
      <c r="H1682" s="465">
        <f t="shared" si="61"/>
        <v>6</v>
      </c>
      <c r="I1682" s="465">
        <f t="shared" si="62"/>
        <v>6</v>
      </c>
      <c r="J1682" s="465">
        <f t="shared" si="63"/>
        <v>6</v>
      </c>
    </row>
    <row r="1683" spans="1:10">
      <c r="A1683" s="82">
        <v>200</v>
      </c>
      <c r="B1683" s="788" t="s">
        <v>2463</v>
      </c>
      <c r="C1683" s="465"/>
      <c r="D1683" s="465" t="s">
        <v>286</v>
      </c>
      <c r="E1683" s="465">
        <v>30</v>
      </c>
      <c r="F1683" s="465"/>
      <c r="G1683" s="465">
        <f t="shared" si="60"/>
        <v>12</v>
      </c>
      <c r="H1683" s="465">
        <f t="shared" si="61"/>
        <v>6</v>
      </c>
      <c r="I1683" s="465">
        <f t="shared" si="62"/>
        <v>6</v>
      </c>
      <c r="J1683" s="465">
        <f t="shared" si="63"/>
        <v>6</v>
      </c>
    </row>
    <row r="1684" spans="1:10">
      <c r="A1684" s="82">
        <v>201</v>
      </c>
      <c r="B1684" s="788" t="s">
        <v>2464</v>
      </c>
      <c r="C1684" s="465"/>
      <c r="D1684" s="465" t="s">
        <v>286</v>
      </c>
      <c r="E1684" s="465">
        <v>30</v>
      </c>
      <c r="F1684" s="465"/>
      <c r="G1684" s="465">
        <f t="shared" si="60"/>
        <v>12</v>
      </c>
      <c r="H1684" s="465">
        <f t="shared" si="61"/>
        <v>6</v>
      </c>
      <c r="I1684" s="465">
        <f t="shared" si="62"/>
        <v>6</v>
      </c>
      <c r="J1684" s="465">
        <f t="shared" si="63"/>
        <v>6</v>
      </c>
    </row>
    <row r="1685" spans="1:10" ht="26.25">
      <c r="A1685" s="1029" t="s">
        <v>4456</v>
      </c>
      <c r="B1685" s="1029"/>
      <c r="C1685" s="1029"/>
      <c r="D1685" s="1029"/>
      <c r="E1685" s="1029"/>
      <c r="F1685" s="1029"/>
      <c r="G1685" s="1029"/>
      <c r="H1685" s="1029"/>
      <c r="I1685" s="1029"/>
      <c r="J1685" s="1029"/>
    </row>
    <row r="1686" spans="1:10" s="669" customFormat="1">
      <c r="A1686" s="1026" t="s">
        <v>4578</v>
      </c>
      <c r="B1686" s="1027"/>
      <c r="C1686" s="1027"/>
      <c r="D1686" s="1027"/>
      <c r="E1686" s="1027"/>
      <c r="F1686" s="1027"/>
      <c r="G1686" s="1027"/>
      <c r="H1686" s="1027"/>
      <c r="I1686" s="1027"/>
      <c r="J1686" s="1028"/>
    </row>
    <row r="1687" spans="1:10" ht="60">
      <c r="A1687" s="761">
        <v>1</v>
      </c>
      <c r="B1687" s="786" t="s">
        <v>1867</v>
      </c>
      <c r="C1687" s="761" t="s">
        <v>1868</v>
      </c>
      <c r="D1687" s="761">
        <f t="shared" ref="D1687:D1707" si="64">I1687+J1687</f>
        <v>79</v>
      </c>
      <c r="E1687" s="761" t="s">
        <v>791</v>
      </c>
      <c r="F1687" s="761" t="s">
        <v>2097</v>
      </c>
      <c r="G1687" s="761"/>
      <c r="H1687" s="761"/>
      <c r="I1687" s="761">
        <v>29</v>
      </c>
      <c r="J1687" s="761">
        <v>50</v>
      </c>
    </row>
    <row r="1688" spans="1:10" ht="60">
      <c r="A1688" s="761">
        <v>2</v>
      </c>
      <c r="B1688" s="786" t="s">
        <v>1869</v>
      </c>
      <c r="C1688" s="761" t="s">
        <v>1870</v>
      </c>
      <c r="D1688" s="761">
        <f t="shared" si="64"/>
        <v>5</v>
      </c>
      <c r="E1688" s="761" t="s">
        <v>791</v>
      </c>
      <c r="F1688" s="761" t="s">
        <v>2098</v>
      </c>
      <c r="G1688" s="761"/>
      <c r="H1688" s="761"/>
      <c r="I1688" s="761">
        <v>2</v>
      </c>
      <c r="J1688" s="761">
        <v>3</v>
      </c>
    </row>
    <row r="1689" spans="1:10" ht="60">
      <c r="A1689" s="761">
        <v>3</v>
      </c>
      <c r="B1689" s="786" t="s">
        <v>1871</v>
      </c>
      <c r="C1689" s="761" t="s">
        <v>1872</v>
      </c>
      <c r="D1689" s="761">
        <f t="shared" si="64"/>
        <v>6</v>
      </c>
      <c r="E1689" s="761" t="s">
        <v>791</v>
      </c>
      <c r="F1689" s="761" t="s">
        <v>2099</v>
      </c>
      <c r="G1689" s="761"/>
      <c r="H1689" s="761"/>
      <c r="I1689" s="761">
        <v>3</v>
      </c>
      <c r="J1689" s="761">
        <v>3</v>
      </c>
    </row>
    <row r="1690" spans="1:10" ht="45">
      <c r="A1690" s="761">
        <v>4</v>
      </c>
      <c r="B1690" s="786" t="s">
        <v>2100</v>
      </c>
      <c r="C1690" s="761" t="s">
        <v>2101</v>
      </c>
      <c r="D1690" s="761">
        <f t="shared" si="64"/>
        <v>1</v>
      </c>
      <c r="E1690" s="761" t="s">
        <v>1737</v>
      </c>
      <c r="F1690" s="761" t="s">
        <v>2102</v>
      </c>
      <c r="G1690" s="761"/>
      <c r="H1690" s="761"/>
      <c r="I1690" s="761"/>
      <c r="J1690" s="761">
        <v>1</v>
      </c>
    </row>
    <row r="1691" spans="1:10" ht="45">
      <c r="A1691" s="761">
        <v>5</v>
      </c>
      <c r="B1691" s="786" t="s">
        <v>2103</v>
      </c>
      <c r="C1691" s="761" t="s">
        <v>2104</v>
      </c>
      <c r="D1691" s="761">
        <f t="shared" si="64"/>
        <v>1</v>
      </c>
      <c r="E1691" s="761" t="s">
        <v>791</v>
      </c>
      <c r="F1691" s="761" t="s">
        <v>2105</v>
      </c>
      <c r="G1691" s="761"/>
      <c r="H1691" s="761"/>
      <c r="I1691" s="761"/>
      <c r="J1691" s="761">
        <v>1</v>
      </c>
    </row>
    <row r="1692" spans="1:10" ht="30">
      <c r="A1692" s="761">
        <v>6</v>
      </c>
      <c r="B1692" s="786" t="s">
        <v>1873</v>
      </c>
      <c r="C1692" s="761" t="s">
        <v>1874</v>
      </c>
      <c r="D1692" s="761">
        <f t="shared" si="64"/>
        <v>1</v>
      </c>
      <c r="E1692" s="761" t="s">
        <v>1737</v>
      </c>
      <c r="F1692" s="761" t="s">
        <v>2106</v>
      </c>
      <c r="G1692" s="761"/>
      <c r="H1692" s="761"/>
      <c r="I1692" s="761">
        <v>1</v>
      </c>
      <c r="J1692" s="761"/>
    </row>
    <row r="1693" spans="1:10">
      <c r="A1693" s="761">
        <v>7</v>
      </c>
      <c r="B1693" s="786" t="s">
        <v>2107</v>
      </c>
      <c r="C1693" s="761" t="s">
        <v>1876</v>
      </c>
      <c r="D1693" s="761">
        <f t="shared" si="64"/>
        <v>6</v>
      </c>
      <c r="E1693" s="761" t="s">
        <v>1737</v>
      </c>
      <c r="F1693" s="761" t="s">
        <v>1876</v>
      </c>
      <c r="G1693" s="761"/>
      <c r="H1693" s="761"/>
      <c r="I1693" s="761">
        <v>3</v>
      </c>
      <c r="J1693" s="761">
        <v>3</v>
      </c>
    </row>
    <row r="1694" spans="1:10" ht="45">
      <c r="A1694" s="761">
        <v>8</v>
      </c>
      <c r="B1694" s="786" t="s">
        <v>2108</v>
      </c>
      <c r="C1694" s="761" t="s">
        <v>2109</v>
      </c>
      <c r="D1694" s="761">
        <f t="shared" si="64"/>
        <v>2</v>
      </c>
      <c r="E1694" s="761" t="s">
        <v>1737</v>
      </c>
      <c r="F1694" s="761" t="s">
        <v>2110</v>
      </c>
      <c r="G1694" s="761"/>
      <c r="H1694" s="761"/>
      <c r="I1694" s="761"/>
      <c r="J1694" s="761">
        <v>2</v>
      </c>
    </row>
    <row r="1695" spans="1:10">
      <c r="A1695" s="761">
        <v>9</v>
      </c>
      <c r="B1695" s="786" t="s">
        <v>2111</v>
      </c>
      <c r="C1695" s="761" t="s">
        <v>670</v>
      </c>
      <c r="D1695" s="761">
        <f t="shared" si="64"/>
        <v>2</v>
      </c>
      <c r="E1695" s="761" t="s">
        <v>1737</v>
      </c>
      <c r="F1695" s="761" t="s">
        <v>2112</v>
      </c>
      <c r="G1695" s="761"/>
      <c r="H1695" s="761"/>
      <c r="I1695" s="761">
        <v>2</v>
      </c>
      <c r="J1695" s="761"/>
    </row>
    <row r="1696" spans="1:10" ht="75">
      <c r="A1696" s="761">
        <v>10</v>
      </c>
      <c r="B1696" s="786" t="s">
        <v>1877</v>
      </c>
      <c r="C1696" s="761" t="s">
        <v>2113</v>
      </c>
      <c r="D1696" s="761">
        <f t="shared" si="64"/>
        <v>17</v>
      </c>
      <c r="E1696" s="761" t="s">
        <v>1737</v>
      </c>
      <c r="F1696" s="761" t="s">
        <v>2114</v>
      </c>
      <c r="G1696" s="761"/>
      <c r="H1696" s="761"/>
      <c r="I1696" s="761">
        <v>9</v>
      </c>
      <c r="J1696" s="761">
        <v>8</v>
      </c>
    </row>
    <row r="1697" spans="1:10">
      <c r="A1697" s="761">
        <v>11</v>
      </c>
      <c r="B1697" s="786" t="s">
        <v>1878</v>
      </c>
      <c r="C1697" s="761" t="s">
        <v>1879</v>
      </c>
      <c r="D1697" s="761">
        <f t="shared" si="64"/>
        <v>1</v>
      </c>
      <c r="E1697" s="761" t="s">
        <v>1737</v>
      </c>
      <c r="F1697" s="761" t="s">
        <v>2115</v>
      </c>
      <c r="G1697" s="761"/>
      <c r="H1697" s="761"/>
      <c r="I1697" s="761">
        <v>1</v>
      </c>
      <c r="J1697" s="761"/>
    </row>
    <row r="1698" spans="1:10">
      <c r="A1698" s="761">
        <v>12</v>
      </c>
      <c r="B1698" s="786" t="s">
        <v>1880</v>
      </c>
      <c r="C1698" s="761" t="s">
        <v>1881</v>
      </c>
      <c r="D1698" s="761">
        <f t="shared" si="64"/>
        <v>1</v>
      </c>
      <c r="E1698" s="761" t="s">
        <v>1737</v>
      </c>
      <c r="F1698" s="761" t="s">
        <v>2115</v>
      </c>
      <c r="G1698" s="761"/>
      <c r="H1698" s="761"/>
      <c r="I1698" s="761">
        <v>1</v>
      </c>
      <c r="J1698" s="761"/>
    </row>
    <row r="1699" spans="1:10">
      <c r="A1699" s="761">
        <v>13</v>
      </c>
      <c r="B1699" s="786" t="s">
        <v>664</v>
      </c>
      <c r="C1699" s="761" t="s">
        <v>665</v>
      </c>
      <c r="D1699" s="761">
        <f t="shared" si="64"/>
        <v>1</v>
      </c>
      <c r="E1699" s="761" t="s">
        <v>1737</v>
      </c>
      <c r="F1699" s="761" t="s">
        <v>2116</v>
      </c>
      <c r="G1699" s="761"/>
      <c r="H1699" s="761"/>
      <c r="I1699" s="761">
        <v>1</v>
      </c>
      <c r="J1699" s="761"/>
    </row>
    <row r="1700" spans="1:10">
      <c r="A1700" s="761">
        <v>14</v>
      </c>
      <c r="B1700" s="786" t="s">
        <v>666</v>
      </c>
      <c r="C1700" s="761" t="s">
        <v>667</v>
      </c>
      <c r="D1700" s="761">
        <f t="shared" si="64"/>
        <v>1</v>
      </c>
      <c r="E1700" s="761" t="s">
        <v>1737</v>
      </c>
      <c r="F1700" s="761" t="s">
        <v>2116</v>
      </c>
      <c r="G1700" s="761"/>
      <c r="H1700" s="761"/>
      <c r="I1700" s="761">
        <v>1</v>
      </c>
      <c r="J1700" s="761"/>
    </row>
    <row r="1701" spans="1:10">
      <c r="A1701" s="761">
        <v>15</v>
      </c>
      <c r="B1701" s="786" t="s">
        <v>668</v>
      </c>
      <c r="C1701" s="761" t="s">
        <v>669</v>
      </c>
      <c r="D1701" s="761">
        <f t="shared" si="64"/>
        <v>1</v>
      </c>
      <c r="E1701" s="761" t="s">
        <v>1737</v>
      </c>
      <c r="F1701" s="761" t="s">
        <v>2116</v>
      </c>
      <c r="G1701" s="761"/>
      <c r="H1701" s="761"/>
      <c r="I1701" s="761">
        <v>1</v>
      </c>
      <c r="J1701" s="761"/>
    </row>
    <row r="1702" spans="1:10">
      <c r="A1702" s="761">
        <v>16</v>
      </c>
      <c r="B1702" s="786" t="s">
        <v>672</v>
      </c>
      <c r="C1702" s="761" t="s">
        <v>2117</v>
      </c>
      <c r="D1702" s="761">
        <f t="shared" si="64"/>
        <v>30</v>
      </c>
      <c r="E1702" s="761" t="s">
        <v>1737</v>
      </c>
      <c r="F1702" s="761" t="s">
        <v>2116</v>
      </c>
      <c r="G1702" s="761"/>
      <c r="H1702" s="761"/>
      <c r="I1702" s="761">
        <v>15</v>
      </c>
      <c r="J1702" s="761">
        <v>15</v>
      </c>
    </row>
    <row r="1703" spans="1:10">
      <c r="A1703" s="761">
        <v>17</v>
      </c>
      <c r="B1703" s="786" t="s">
        <v>2118</v>
      </c>
      <c r="C1703" s="761" t="s">
        <v>2119</v>
      </c>
      <c r="D1703" s="761">
        <f t="shared" si="64"/>
        <v>1</v>
      </c>
      <c r="E1703" s="761" t="s">
        <v>1737</v>
      </c>
      <c r="F1703" s="761" t="s">
        <v>2116</v>
      </c>
      <c r="G1703" s="761"/>
      <c r="H1703" s="761"/>
      <c r="I1703" s="761"/>
      <c r="J1703" s="761">
        <v>1</v>
      </c>
    </row>
    <row r="1704" spans="1:10">
      <c r="A1704" s="761">
        <v>18</v>
      </c>
      <c r="B1704" s="786" t="s">
        <v>1410</v>
      </c>
      <c r="C1704" s="761" t="s">
        <v>2120</v>
      </c>
      <c r="D1704" s="761">
        <f t="shared" si="64"/>
        <v>5</v>
      </c>
      <c r="E1704" s="761" t="s">
        <v>1737</v>
      </c>
      <c r="F1704" s="761" t="s">
        <v>2116</v>
      </c>
      <c r="G1704" s="761"/>
      <c r="H1704" s="761"/>
      <c r="I1704" s="761">
        <v>5</v>
      </c>
      <c r="J1704" s="761"/>
    </row>
    <row r="1705" spans="1:10">
      <c r="A1705" s="761">
        <v>19</v>
      </c>
      <c r="B1705" s="786" t="s">
        <v>4457</v>
      </c>
      <c r="C1705" s="761" t="s">
        <v>4458</v>
      </c>
      <c r="D1705" s="761">
        <f t="shared" si="64"/>
        <v>10</v>
      </c>
      <c r="E1705" s="761" t="s">
        <v>1737</v>
      </c>
      <c r="F1705" s="761" t="s">
        <v>2116</v>
      </c>
      <c r="G1705" s="761"/>
      <c r="H1705" s="761"/>
      <c r="I1705" s="761">
        <v>10</v>
      </c>
      <c r="J1705" s="761"/>
    </row>
    <row r="1706" spans="1:10">
      <c r="A1706" s="761">
        <v>20</v>
      </c>
      <c r="B1706" s="786" t="s">
        <v>4459</v>
      </c>
      <c r="C1706" s="761" t="s">
        <v>4458</v>
      </c>
      <c r="D1706" s="761">
        <f t="shared" si="64"/>
        <v>10</v>
      </c>
      <c r="E1706" s="761" t="s">
        <v>1737</v>
      </c>
      <c r="F1706" s="761" t="s">
        <v>2116</v>
      </c>
      <c r="G1706" s="761"/>
      <c r="H1706" s="761"/>
      <c r="I1706" s="761">
        <v>10</v>
      </c>
      <c r="J1706" s="761"/>
    </row>
    <row r="1707" spans="1:10">
      <c r="A1707" s="761">
        <v>21</v>
      </c>
      <c r="B1707" s="786" t="s">
        <v>1875</v>
      </c>
      <c r="C1707" s="761" t="s">
        <v>2121</v>
      </c>
      <c r="D1707" s="761">
        <f t="shared" si="64"/>
        <v>13</v>
      </c>
      <c r="E1707" s="761" t="s">
        <v>1737</v>
      </c>
      <c r="F1707" s="761" t="s">
        <v>2116</v>
      </c>
      <c r="G1707" s="761"/>
      <c r="H1707" s="761"/>
      <c r="I1707" s="761">
        <v>6</v>
      </c>
      <c r="J1707" s="761">
        <v>7</v>
      </c>
    </row>
    <row r="1708" spans="1:10">
      <c r="A1708" s="761">
        <v>22</v>
      </c>
      <c r="B1708" s="786" t="s">
        <v>4460</v>
      </c>
      <c r="C1708" s="761" t="s">
        <v>4461</v>
      </c>
      <c r="D1708" s="761">
        <v>600</v>
      </c>
      <c r="E1708" s="761" t="s">
        <v>1737</v>
      </c>
      <c r="F1708" s="761" t="s">
        <v>2116</v>
      </c>
      <c r="G1708" s="761"/>
      <c r="H1708" s="761"/>
      <c r="I1708" s="761">
        <v>300</v>
      </c>
      <c r="J1708" s="761">
        <v>300</v>
      </c>
    </row>
    <row r="1709" spans="1:10">
      <c r="A1709" s="761">
        <v>23</v>
      </c>
      <c r="B1709" s="786" t="s">
        <v>4462</v>
      </c>
      <c r="C1709" s="761" t="s">
        <v>4463</v>
      </c>
      <c r="D1709" s="761">
        <v>12</v>
      </c>
      <c r="E1709" s="761" t="s">
        <v>4464</v>
      </c>
      <c r="F1709" s="761" t="s">
        <v>2116</v>
      </c>
      <c r="G1709" s="761"/>
      <c r="H1709" s="761"/>
      <c r="I1709" s="761">
        <v>6</v>
      </c>
      <c r="J1709" s="761">
        <v>6</v>
      </c>
    </row>
    <row r="1710" spans="1:10">
      <c r="A1710" s="761">
        <v>24</v>
      </c>
      <c r="B1710" s="786" t="s">
        <v>4465</v>
      </c>
      <c r="C1710" s="761" t="s">
        <v>4463</v>
      </c>
      <c r="D1710" s="761">
        <v>48</v>
      </c>
      <c r="E1710" s="761" t="s">
        <v>4464</v>
      </c>
      <c r="F1710" s="761" t="s">
        <v>2116</v>
      </c>
      <c r="G1710" s="761"/>
      <c r="H1710" s="761"/>
      <c r="I1710" s="761">
        <v>24</v>
      </c>
      <c r="J1710" s="761">
        <v>24</v>
      </c>
    </row>
    <row r="1711" spans="1:10">
      <c r="A1711" s="761">
        <v>25</v>
      </c>
      <c r="B1711" s="786" t="s">
        <v>4466</v>
      </c>
      <c r="C1711" s="761" t="s">
        <v>4463</v>
      </c>
      <c r="D1711" s="761">
        <v>4</v>
      </c>
      <c r="E1711" s="761" t="s">
        <v>4464</v>
      </c>
      <c r="F1711" s="761" t="s">
        <v>2116</v>
      </c>
      <c r="G1711" s="761"/>
      <c r="H1711" s="761"/>
      <c r="I1711" s="761">
        <v>2</v>
      </c>
      <c r="J1711" s="761">
        <v>2</v>
      </c>
    </row>
    <row r="1712" spans="1:10">
      <c r="A1712" s="761">
        <v>27</v>
      </c>
      <c r="B1712" s="786" t="s">
        <v>4467</v>
      </c>
      <c r="C1712" s="761" t="s">
        <v>4463</v>
      </c>
      <c r="D1712" s="761">
        <v>24</v>
      </c>
      <c r="E1712" s="761" t="s">
        <v>4464</v>
      </c>
      <c r="F1712" s="761" t="s">
        <v>2116</v>
      </c>
      <c r="G1712" s="761"/>
      <c r="H1712" s="761"/>
      <c r="I1712" s="761">
        <v>12</v>
      </c>
      <c r="J1712" s="761">
        <v>12</v>
      </c>
    </row>
    <row r="1713" spans="1:10">
      <c r="A1713" s="761">
        <v>28</v>
      </c>
      <c r="B1713" s="786" t="s">
        <v>4468</v>
      </c>
      <c r="C1713" s="761" t="s">
        <v>4469</v>
      </c>
      <c r="D1713" s="761">
        <v>527</v>
      </c>
      <c r="E1713" s="761" t="s">
        <v>1737</v>
      </c>
      <c r="F1713" s="761" t="s">
        <v>2116</v>
      </c>
      <c r="G1713" s="761"/>
      <c r="H1713" s="761"/>
      <c r="I1713" s="761">
        <v>263</v>
      </c>
      <c r="J1713" s="761">
        <v>264</v>
      </c>
    </row>
    <row r="1714" spans="1:10">
      <c r="A1714" s="761">
        <v>29</v>
      </c>
      <c r="B1714" s="786" t="s">
        <v>4470</v>
      </c>
      <c r="C1714" s="761" t="s">
        <v>4469</v>
      </c>
      <c r="D1714" s="761">
        <v>31</v>
      </c>
      <c r="E1714" s="761" t="s">
        <v>1737</v>
      </c>
      <c r="F1714" s="761" t="s">
        <v>2116</v>
      </c>
      <c r="G1714" s="761"/>
      <c r="H1714" s="761"/>
      <c r="I1714" s="761">
        <v>20</v>
      </c>
      <c r="J1714" s="761">
        <v>11</v>
      </c>
    </row>
    <row r="1715" spans="1:10">
      <c r="A1715" s="761">
        <v>30</v>
      </c>
      <c r="B1715" s="786" t="s">
        <v>4471</v>
      </c>
      <c r="C1715" s="761" t="s">
        <v>4469</v>
      </c>
      <c r="D1715" s="761">
        <v>261</v>
      </c>
      <c r="E1715" s="761" t="s">
        <v>1737</v>
      </c>
      <c r="F1715" s="761" t="s">
        <v>2116</v>
      </c>
      <c r="G1715" s="761"/>
      <c r="H1715" s="761"/>
      <c r="I1715" s="761">
        <v>130</v>
      </c>
      <c r="J1715" s="761">
        <v>131</v>
      </c>
    </row>
    <row r="1716" spans="1:10">
      <c r="A1716" s="761">
        <v>31</v>
      </c>
      <c r="B1716" s="786" t="s">
        <v>4472</v>
      </c>
      <c r="C1716" s="761" t="s">
        <v>4469</v>
      </c>
      <c r="D1716" s="761">
        <v>78</v>
      </c>
      <c r="E1716" s="761" t="s">
        <v>1737</v>
      </c>
      <c r="F1716" s="761" t="s">
        <v>2116</v>
      </c>
      <c r="G1716" s="761"/>
      <c r="H1716" s="761"/>
      <c r="I1716" s="761">
        <v>40</v>
      </c>
      <c r="J1716" s="761">
        <v>38</v>
      </c>
    </row>
    <row r="1717" spans="1:10">
      <c r="A1717" s="761">
        <v>32</v>
      </c>
      <c r="B1717" s="786" t="s">
        <v>4473</v>
      </c>
      <c r="C1717" s="761" t="s">
        <v>4469</v>
      </c>
      <c r="D1717" s="761">
        <v>48</v>
      </c>
      <c r="E1717" s="761" t="s">
        <v>1737</v>
      </c>
      <c r="F1717" s="761" t="s">
        <v>2116</v>
      </c>
      <c r="G1717" s="761"/>
      <c r="H1717" s="761"/>
      <c r="I1717" s="761">
        <v>20</v>
      </c>
      <c r="J1717" s="761">
        <v>28</v>
      </c>
    </row>
    <row r="1718" spans="1:10">
      <c r="A1718" s="761">
        <v>33</v>
      </c>
      <c r="B1718" s="786" t="s">
        <v>4474</v>
      </c>
      <c r="C1718" s="761" t="s">
        <v>4475</v>
      </c>
      <c r="D1718" s="761">
        <v>12</v>
      </c>
      <c r="E1718" s="761" t="s">
        <v>1737</v>
      </c>
      <c r="F1718" s="761" t="s">
        <v>2116</v>
      </c>
      <c r="G1718" s="761"/>
      <c r="H1718" s="761"/>
      <c r="I1718" s="761">
        <v>6</v>
      </c>
      <c r="J1718" s="761">
        <v>6</v>
      </c>
    </row>
    <row r="1719" spans="1:10">
      <c r="A1719" s="761">
        <v>34</v>
      </c>
      <c r="B1719" s="786" t="s">
        <v>4476</v>
      </c>
      <c r="C1719" s="761" t="s">
        <v>4469</v>
      </c>
      <c r="D1719" s="761">
        <v>847</v>
      </c>
      <c r="E1719" s="761" t="s">
        <v>1737</v>
      </c>
      <c r="F1719" s="761" t="s">
        <v>2116</v>
      </c>
      <c r="G1719" s="761"/>
      <c r="H1719" s="761"/>
      <c r="I1719" s="761">
        <v>400</v>
      </c>
      <c r="J1719" s="761">
        <v>447</v>
      </c>
    </row>
    <row r="1720" spans="1:10">
      <c r="A1720" s="761">
        <v>35</v>
      </c>
      <c r="B1720" s="786" t="s">
        <v>4477</v>
      </c>
      <c r="C1720" s="761" t="s">
        <v>4469</v>
      </c>
      <c r="D1720" s="761">
        <v>17</v>
      </c>
      <c r="E1720" s="761" t="s">
        <v>1737</v>
      </c>
      <c r="F1720" s="761" t="s">
        <v>2116</v>
      </c>
      <c r="G1720" s="761"/>
      <c r="H1720" s="761"/>
      <c r="I1720" s="761">
        <v>10</v>
      </c>
      <c r="J1720" s="761">
        <v>7</v>
      </c>
    </row>
    <row r="1721" spans="1:10">
      <c r="A1721" s="465">
        <v>36</v>
      </c>
      <c r="B1721" s="788" t="s">
        <v>4478</v>
      </c>
      <c r="C1721" s="465" t="s">
        <v>4469</v>
      </c>
      <c r="D1721" s="465">
        <v>422</v>
      </c>
      <c r="E1721" s="465" t="s">
        <v>1737</v>
      </c>
      <c r="F1721" s="465" t="s">
        <v>2116</v>
      </c>
      <c r="G1721" s="465"/>
      <c r="H1721" s="465"/>
      <c r="I1721" s="465">
        <v>200</v>
      </c>
      <c r="J1721" s="465">
        <v>222</v>
      </c>
    </row>
    <row r="1722" spans="1:10">
      <c r="A1722" s="465">
        <v>37</v>
      </c>
      <c r="B1722" s="788" t="s">
        <v>4479</v>
      </c>
      <c r="C1722" s="465" t="s">
        <v>4469</v>
      </c>
      <c r="D1722" s="465">
        <v>38</v>
      </c>
      <c r="E1722" s="465" t="s">
        <v>1737</v>
      </c>
      <c r="F1722" s="465" t="s">
        <v>2116</v>
      </c>
      <c r="G1722" s="465"/>
      <c r="H1722" s="465"/>
      <c r="I1722" s="465">
        <v>20</v>
      </c>
      <c r="J1722" s="465">
        <v>18</v>
      </c>
    </row>
    <row r="1723" spans="1:10">
      <c r="A1723" s="465">
        <v>38</v>
      </c>
      <c r="B1723" s="788" t="s">
        <v>4480</v>
      </c>
      <c r="C1723" s="465" t="s">
        <v>4469</v>
      </c>
      <c r="D1723" s="465">
        <v>28</v>
      </c>
      <c r="E1723" s="465" t="s">
        <v>1737</v>
      </c>
      <c r="F1723" s="465" t="s">
        <v>2116</v>
      </c>
      <c r="G1723" s="465"/>
      <c r="H1723" s="465"/>
      <c r="I1723" s="465">
        <v>14</v>
      </c>
      <c r="J1723" s="465">
        <v>14</v>
      </c>
    </row>
    <row r="1724" spans="1:10">
      <c r="A1724" s="465">
        <v>39</v>
      </c>
      <c r="B1724" s="788" t="s">
        <v>4481</v>
      </c>
      <c r="C1724" s="465" t="s">
        <v>4475</v>
      </c>
      <c r="D1724" s="465">
        <v>16</v>
      </c>
      <c r="E1724" s="465" t="s">
        <v>1737</v>
      </c>
      <c r="F1724" s="465" t="s">
        <v>2116</v>
      </c>
      <c r="G1724" s="465"/>
      <c r="H1724" s="465"/>
      <c r="I1724" s="465">
        <v>8</v>
      </c>
      <c r="J1724" s="465">
        <v>8</v>
      </c>
    </row>
    <row r="1725" spans="1:10">
      <c r="A1725" s="465">
        <v>40</v>
      </c>
      <c r="B1725" s="788" t="s">
        <v>4482</v>
      </c>
      <c r="C1725" s="465" t="s">
        <v>4469</v>
      </c>
      <c r="D1725" s="465">
        <v>187</v>
      </c>
      <c r="E1725" s="465" t="s">
        <v>1737</v>
      </c>
      <c r="F1725" s="465" t="s">
        <v>2116</v>
      </c>
      <c r="G1725" s="465"/>
      <c r="H1725" s="465"/>
      <c r="I1725" s="465">
        <v>100</v>
      </c>
      <c r="J1725" s="465">
        <v>87</v>
      </c>
    </row>
    <row r="1726" spans="1:10">
      <c r="A1726" s="465">
        <v>41</v>
      </c>
      <c r="B1726" s="788" t="s">
        <v>4483</v>
      </c>
      <c r="C1726" s="465" t="s">
        <v>4469</v>
      </c>
      <c r="D1726" s="465">
        <v>6</v>
      </c>
      <c r="E1726" s="465" t="s">
        <v>1737</v>
      </c>
      <c r="F1726" s="465" t="s">
        <v>2116</v>
      </c>
      <c r="G1726" s="465"/>
      <c r="H1726" s="465"/>
      <c r="I1726" s="465">
        <v>3</v>
      </c>
      <c r="J1726" s="465">
        <v>3</v>
      </c>
    </row>
    <row r="1727" spans="1:10">
      <c r="A1727" s="465">
        <v>42</v>
      </c>
      <c r="B1727" s="788" t="s">
        <v>4484</v>
      </c>
      <c r="C1727" s="465" t="s">
        <v>4469</v>
      </c>
      <c r="D1727" s="465">
        <v>92</v>
      </c>
      <c r="E1727" s="465" t="s">
        <v>1737</v>
      </c>
      <c r="F1727" s="465" t="s">
        <v>2116</v>
      </c>
      <c r="G1727" s="465"/>
      <c r="H1727" s="465"/>
      <c r="I1727" s="465">
        <v>52</v>
      </c>
      <c r="J1727" s="465">
        <v>40</v>
      </c>
    </row>
    <row r="1728" spans="1:10">
      <c r="A1728" s="465">
        <v>43</v>
      </c>
      <c r="B1728" s="788" t="s">
        <v>4485</v>
      </c>
      <c r="C1728" s="465" t="s">
        <v>4469</v>
      </c>
      <c r="D1728" s="465">
        <v>12</v>
      </c>
      <c r="E1728" s="465" t="s">
        <v>1737</v>
      </c>
      <c r="F1728" s="465" t="s">
        <v>2116</v>
      </c>
      <c r="G1728" s="465"/>
      <c r="H1728" s="465"/>
      <c r="I1728" s="465">
        <v>6</v>
      </c>
      <c r="J1728" s="465">
        <v>6</v>
      </c>
    </row>
    <row r="1729" spans="1:10">
      <c r="A1729" s="465">
        <v>44</v>
      </c>
      <c r="B1729" s="788" t="s">
        <v>4486</v>
      </c>
      <c r="C1729" s="465" t="s">
        <v>4469</v>
      </c>
      <c r="D1729" s="465">
        <v>12</v>
      </c>
      <c r="E1729" s="465" t="s">
        <v>1737</v>
      </c>
      <c r="F1729" s="465" t="s">
        <v>2116</v>
      </c>
      <c r="G1729" s="465"/>
      <c r="H1729" s="465"/>
      <c r="I1729" s="465">
        <v>6</v>
      </c>
      <c r="J1729" s="465">
        <v>6</v>
      </c>
    </row>
    <row r="1730" spans="1:10">
      <c r="A1730" s="465">
        <v>45</v>
      </c>
      <c r="B1730" s="788" t="s">
        <v>4487</v>
      </c>
      <c r="C1730" s="465" t="s">
        <v>4475</v>
      </c>
      <c r="D1730" s="465">
        <v>5</v>
      </c>
      <c r="E1730" s="465" t="s">
        <v>1737</v>
      </c>
      <c r="F1730" s="465" t="s">
        <v>2116</v>
      </c>
      <c r="G1730" s="465"/>
      <c r="H1730" s="465"/>
      <c r="I1730" s="465">
        <v>2</v>
      </c>
      <c r="J1730" s="465">
        <v>3</v>
      </c>
    </row>
    <row r="1731" spans="1:10">
      <c r="A1731" s="465">
        <v>46</v>
      </c>
      <c r="B1731" s="788" t="s">
        <v>4488</v>
      </c>
      <c r="C1731" s="465" t="s">
        <v>4469</v>
      </c>
      <c r="D1731" s="465">
        <v>1056</v>
      </c>
      <c r="E1731" s="465" t="s">
        <v>1737</v>
      </c>
      <c r="F1731" s="465" t="s">
        <v>2116</v>
      </c>
      <c r="G1731" s="465"/>
      <c r="H1731" s="465"/>
      <c r="I1731" s="465">
        <v>500</v>
      </c>
      <c r="J1731" s="465">
        <v>556</v>
      </c>
    </row>
    <row r="1732" spans="1:10">
      <c r="A1732" s="465">
        <v>47</v>
      </c>
      <c r="B1732" s="788" t="s">
        <v>4489</v>
      </c>
      <c r="C1732" s="465" t="s">
        <v>4469</v>
      </c>
      <c r="D1732" s="465">
        <v>19</v>
      </c>
      <c r="E1732" s="465" t="s">
        <v>1737</v>
      </c>
      <c r="F1732" s="465" t="s">
        <v>2116</v>
      </c>
      <c r="G1732" s="465"/>
      <c r="H1732" s="465"/>
      <c r="I1732" s="465">
        <v>10</v>
      </c>
      <c r="J1732" s="465">
        <v>9</v>
      </c>
    </row>
    <row r="1733" spans="1:10">
      <c r="A1733" s="465">
        <v>48</v>
      </c>
      <c r="B1733" s="788" t="s">
        <v>4490</v>
      </c>
      <c r="C1733" s="465" t="s">
        <v>4469</v>
      </c>
      <c r="D1733" s="465">
        <v>529</v>
      </c>
      <c r="E1733" s="465" t="s">
        <v>1737</v>
      </c>
      <c r="F1733" s="465" t="s">
        <v>2116</v>
      </c>
      <c r="G1733" s="465"/>
      <c r="H1733" s="465"/>
      <c r="I1733" s="465">
        <v>300</v>
      </c>
      <c r="J1733" s="465">
        <v>229</v>
      </c>
    </row>
    <row r="1734" spans="1:10">
      <c r="A1734" s="465">
        <v>49</v>
      </c>
      <c r="B1734" s="788" t="s">
        <v>4491</v>
      </c>
      <c r="C1734" s="465" t="s">
        <v>4469</v>
      </c>
      <c r="D1734" s="465">
        <v>18</v>
      </c>
      <c r="E1734" s="465" t="s">
        <v>1737</v>
      </c>
      <c r="F1734" s="465" t="s">
        <v>2116</v>
      </c>
      <c r="G1734" s="465"/>
      <c r="H1734" s="465"/>
      <c r="I1734" s="465">
        <v>9</v>
      </c>
      <c r="J1734" s="465">
        <v>9</v>
      </c>
    </row>
    <row r="1735" spans="1:10">
      <c r="A1735" s="465">
        <v>50</v>
      </c>
      <c r="B1735" s="788" t="s">
        <v>4492</v>
      </c>
      <c r="C1735" s="465" t="s">
        <v>4469</v>
      </c>
      <c r="D1735" s="465">
        <v>18</v>
      </c>
      <c r="E1735" s="465" t="s">
        <v>1737</v>
      </c>
      <c r="F1735" s="465" t="s">
        <v>2116</v>
      </c>
      <c r="G1735" s="465"/>
      <c r="H1735" s="465"/>
      <c r="I1735" s="465">
        <v>9</v>
      </c>
      <c r="J1735" s="465">
        <v>9</v>
      </c>
    </row>
    <row r="1736" spans="1:10">
      <c r="A1736" s="465">
        <v>51</v>
      </c>
      <c r="B1736" s="788" t="s">
        <v>4493</v>
      </c>
      <c r="C1736" s="465" t="s">
        <v>4475</v>
      </c>
      <c r="D1736" s="465">
        <v>16</v>
      </c>
      <c r="E1736" s="465" t="s">
        <v>1737</v>
      </c>
      <c r="F1736" s="465" t="s">
        <v>2116</v>
      </c>
      <c r="G1736" s="465"/>
      <c r="H1736" s="465"/>
      <c r="I1736" s="465">
        <v>8</v>
      </c>
      <c r="J1736" s="465">
        <v>8</v>
      </c>
    </row>
    <row r="1737" spans="1:10">
      <c r="A1737" s="465">
        <v>52</v>
      </c>
      <c r="B1737" s="788" t="s">
        <v>4494</v>
      </c>
      <c r="C1737" s="465" t="s">
        <v>4469</v>
      </c>
      <c r="D1737" s="465">
        <v>297</v>
      </c>
      <c r="E1737" s="465" t="s">
        <v>1737</v>
      </c>
      <c r="F1737" s="465" t="s">
        <v>2116</v>
      </c>
      <c r="G1737" s="465"/>
      <c r="H1737" s="465"/>
      <c r="I1737" s="465">
        <v>150</v>
      </c>
      <c r="J1737" s="465">
        <v>147</v>
      </c>
    </row>
    <row r="1738" spans="1:10">
      <c r="A1738" s="465">
        <v>53</v>
      </c>
      <c r="B1738" s="788" t="s">
        <v>4495</v>
      </c>
      <c r="C1738" s="465" t="s">
        <v>4469</v>
      </c>
      <c r="D1738" s="465">
        <v>146</v>
      </c>
      <c r="E1738" s="465" t="s">
        <v>1737</v>
      </c>
      <c r="F1738" s="465" t="s">
        <v>2116</v>
      </c>
      <c r="G1738" s="465"/>
      <c r="H1738" s="465"/>
      <c r="I1738" s="465">
        <v>70</v>
      </c>
      <c r="J1738" s="465">
        <v>76</v>
      </c>
    </row>
    <row r="1739" spans="1:10">
      <c r="A1739" s="465">
        <v>54</v>
      </c>
      <c r="B1739" s="788" t="s">
        <v>4496</v>
      </c>
      <c r="C1739" s="465" t="s">
        <v>4469</v>
      </c>
      <c r="D1739" s="465">
        <v>146</v>
      </c>
      <c r="E1739" s="465" t="s">
        <v>1737</v>
      </c>
      <c r="F1739" s="465" t="s">
        <v>2116</v>
      </c>
      <c r="G1739" s="465"/>
      <c r="H1739" s="465"/>
      <c r="I1739" s="465">
        <v>70</v>
      </c>
      <c r="J1739" s="465">
        <v>76</v>
      </c>
    </row>
    <row r="1740" spans="1:10">
      <c r="A1740" s="465">
        <v>55</v>
      </c>
      <c r="B1740" s="788" t="s">
        <v>4497</v>
      </c>
      <c r="C1740" s="465" t="s">
        <v>4469</v>
      </c>
      <c r="D1740" s="465">
        <v>146</v>
      </c>
      <c r="E1740" s="465" t="s">
        <v>1737</v>
      </c>
      <c r="F1740" s="465" t="s">
        <v>2116</v>
      </c>
      <c r="G1740" s="465"/>
      <c r="H1740" s="465"/>
      <c r="I1740" s="465">
        <v>70</v>
      </c>
      <c r="J1740" s="465">
        <v>76</v>
      </c>
    </row>
    <row r="1741" spans="1:10">
      <c r="A1741" s="465">
        <v>56</v>
      </c>
      <c r="B1741" s="788" t="s">
        <v>4498</v>
      </c>
      <c r="C1741" s="465" t="s">
        <v>4469</v>
      </c>
      <c r="D1741" s="465">
        <v>116</v>
      </c>
      <c r="E1741" s="465" t="s">
        <v>1737</v>
      </c>
      <c r="F1741" s="465" t="s">
        <v>2116</v>
      </c>
      <c r="G1741" s="465"/>
      <c r="H1741" s="465"/>
      <c r="I1741" s="465">
        <v>50</v>
      </c>
      <c r="J1741" s="465">
        <v>66</v>
      </c>
    </row>
    <row r="1742" spans="1:10">
      <c r="A1742" s="465">
        <v>57</v>
      </c>
      <c r="B1742" s="788" t="s">
        <v>4499</v>
      </c>
      <c r="C1742" s="465" t="s">
        <v>4475</v>
      </c>
      <c r="D1742" s="465">
        <v>10</v>
      </c>
      <c r="E1742" s="465" t="s">
        <v>1737</v>
      </c>
      <c r="F1742" s="465" t="s">
        <v>2116</v>
      </c>
      <c r="G1742" s="465"/>
      <c r="H1742" s="465"/>
      <c r="I1742" s="465">
        <v>5</v>
      </c>
      <c r="J1742" s="465">
        <v>5</v>
      </c>
    </row>
    <row r="1743" spans="1:10">
      <c r="A1743" s="465">
        <v>58</v>
      </c>
      <c r="B1743" s="788" t="s">
        <v>4500</v>
      </c>
      <c r="C1743" s="465" t="s">
        <v>4469</v>
      </c>
      <c r="D1743" s="465">
        <v>209</v>
      </c>
      <c r="E1743" s="465" t="s">
        <v>1737</v>
      </c>
      <c r="F1743" s="465" t="s">
        <v>2116</v>
      </c>
      <c r="G1743" s="465"/>
      <c r="H1743" s="465"/>
      <c r="I1743" s="465">
        <v>100</v>
      </c>
      <c r="J1743" s="465">
        <v>109</v>
      </c>
    </row>
    <row r="1744" spans="1:10">
      <c r="A1744" s="465">
        <v>59</v>
      </c>
      <c r="B1744" s="788" t="s">
        <v>4501</v>
      </c>
      <c r="C1744" s="465" t="s">
        <v>4469</v>
      </c>
      <c r="D1744" s="465">
        <v>25</v>
      </c>
      <c r="E1744" s="465" t="s">
        <v>1737</v>
      </c>
      <c r="F1744" s="465" t="s">
        <v>2116</v>
      </c>
      <c r="G1744" s="465"/>
      <c r="H1744" s="465"/>
      <c r="I1744" s="465">
        <v>12</v>
      </c>
      <c r="J1744" s="465">
        <v>13</v>
      </c>
    </row>
    <row r="1745" spans="1:10">
      <c r="A1745" s="465">
        <v>60</v>
      </c>
      <c r="B1745" s="788" t="s">
        <v>4502</v>
      </c>
      <c r="C1745" s="465" t="s">
        <v>4469</v>
      </c>
      <c r="D1745" s="465">
        <v>105</v>
      </c>
      <c r="E1745" s="465" t="s">
        <v>1737</v>
      </c>
      <c r="F1745" s="465" t="s">
        <v>2116</v>
      </c>
      <c r="G1745" s="465"/>
      <c r="H1745" s="465"/>
      <c r="I1745" s="465">
        <v>50</v>
      </c>
      <c r="J1745" s="465">
        <v>55</v>
      </c>
    </row>
    <row r="1746" spans="1:10">
      <c r="A1746" s="465">
        <v>61</v>
      </c>
      <c r="B1746" s="788" t="s">
        <v>4503</v>
      </c>
      <c r="C1746" s="465" t="s">
        <v>4469</v>
      </c>
      <c r="D1746" s="465">
        <v>30</v>
      </c>
      <c r="E1746" s="465" t="s">
        <v>1737</v>
      </c>
      <c r="F1746" s="465" t="s">
        <v>2116</v>
      </c>
      <c r="G1746" s="465"/>
      <c r="H1746" s="465"/>
      <c r="I1746" s="465">
        <v>15</v>
      </c>
      <c r="J1746" s="465">
        <v>15</v>
      </c>
    </row>
    <row r="1747" spans="1:10">
      <c r="A1747" s="465">
        <v>62</v>
      </c>
      <c r="B1747" s="788" t="s">
        <v>4504</v>
      </c>
      <c r="C1747" s="465" t="s">
        <v>4469</v>
      </c>
      <c r="D1747" s="465">
        <v>15</v>
      </c>
      <c r="E1747" s="465" t="s">
        <v>1737</v>
      </c>
      <c r="F1747" s="465" t="s">
        <v>2116</v>
      </c>
      <c r="G1747" s="465"/>
      <c r="H1747" s="465"/>
      <c r="I1747" s="465">
        <v>7</v>
      </c>
      <c r="J1747" s="465">
        <v>8</v>
      </c>
    </row>
    <row r="1748" spans="1:10">
      <c r="A1748" s="465">
        <v>63</v>
      </c>
      <c r="B1748" s="788" t="s">
        <v>4505</v>
      </c>
      <c r="C1748" s="465" t="s">
        <v>4475</v>
      </c>
      <c r="D1748" s="465">
        <v>2</v>
      </c>
      <c r="E1748" s="465" t="s">
        <v>1737</v>
      </c>
      <c r="F1748" s="465" t="s">
        <v>2116</v>
      </c>
      <c r="G1748" s="465"/>
      <c r="H1748" s="465"/>
      <c r="I1748" s="465">
        <v>1</v>
      </c>
      <c r="J1748" s="465">
        <v>1</v>
      </c>
    </row>
    <row r="1749" spans="1:10">
      <c r="A1749" s="465">
        <v>64</v>
      </c>
      <c r="B1749" s="788" t="s">
        <v>4506</v>
      </c>
      <c r="C1749" s="465" t="s">
        <v>4469</v>
      </c>
      <c r="D1749" s="465">
        <v>121</v>
      </c>
      <c r="E1749" s="465" t="s">
        <v>1737</v>
      </c>
      <c r="F1749" s="465" t="s">
        <v>2116</v>
      </c>
      <c r="G1749" s="465"/>
      <c r="H1749" s="465"/>
      <c r="I1749" s="465">
        <v>60</v>
      </c>
      <c r="J1749" s="465">
        <v>61</v>
      </c>
    </row>
    <row r="1750" spans="1:10">
      <c r="A1750" s="465">
        <v>65</v>
      </c>
      <c r="B1750" s="788" t="s">
        <v>4507</v>
      </c>
      <c r="C1750" s="465" t="s">
        <v>4469</v>
      </c>
      <c r="D1750" s="465">
        <v>4</v>
      </c>
      <c r="E1750" s="465" t="s">
        <v>1737</v>
      </c>
      <c r="F1750" s="465" t="s">
        <v>2116</v>
      </c>
      <c r="G1750" s="465"/>
      <c r="H1750" s="465"/>
      <c r="I1750" s="465">
        <v>2</v>
      </c>
      <c r="J1750" s="465">
        <v>2</v>
      </c>
    </row>
    <row r="1751" spans="1:10">
      <c r="A1751" s="465">
        <v>66</v>
      </c>
      <c r="B1751" s="788" t="s">
        <v>4508</v>
      </c>
      <c r="C1751" s="465" t="s">
        <v>4469</v>
      </c>
      <c r="D1751" s="465">
        <v>57</v>
      </c>
      <c r="E1751" s="465" t="s">
        <v>1737</v>
      </c>
      <c r="F1751" s="465" t="s">
        <v>2116</v>
      </c>
      <c r="G1751" s="465"/>
      <c r="H1751" s="465"/>
      <c r="I1751" s="465">
        <v>30</v>
      </c>
      <c r="J1751" s="465">
        <v>27</v>
      </c>
    </row>
    <row r="1752" spans="1:10">
      <c r="A1752" s="465">
        <v>67</v>
      </c>
      <c r="B1752" s="788" t="s">
        <v>4509</v>
      </c>
      <c r="C1752" s="465" t="s">
        <v>4469</v>
      </c>
      <c r="D1752" s="465">
        <v>7</v>
      </c>
      <c r="E1752" s="465" t="s">
        <v>1737</v>
      </c>
      <c r="F1752" s="465" t="s">
        <v>2116</v>
      </c>
      <c r="G1752" s="465"/>
      <c r="H1752" s="465"/>
      <c r="I1752" s="465">
        <v>4</v>
      </c>
      <c r="J1752" s="465">
        <v>3</v>
      </c>
    </row>
    <row r="1753" spans="1:10">
      <c r="A1753" s="465">
        <v>68</v>
      </c>
      <c r="B1753" s="788" t="s">
        <v>4510</v>
      </c>
      <c r="C1753" s="465" t="s">
        <v>4469</v>
      </c>
      <c r="D1753" s="465">
        <v>7</v>
      </c>
      <c r="E1753" s="465" t="s">
        <v>1737</v>
      </c>
      <c r="F1753" s="465" t="s">
        <v>2116</v>
      </c>
      <c r="G1753" s="465"/>
      <c r="H1753" s="465"/>
      <c r="I1753" s="465">
        <v>4</v>
      </c>
      <c r="J1753" s="465">
        <v>3</v>
      </c>
    </row>
    <row r="1754" spans="1:10">
      <c r="A1754" s="465">
        <v>69</v>
      </c>
      <c r="B1754" s="788" t="s">
        <v>4511</v>
      </c>
      <c r="C1754" s="465" t="s">
        <v>4475</v>
      </c>
      <c r="D1754" s="465">
        <v>3</v>
      </c>
      <c r="E1754" s="465" t="s">
        <v>1737</v>
      </c>
      <c r="F1754" s="465" t="s">
        <v>2116</v>
      </c>
      <c r="G1754" s="465"/>
      <c r="H1754" s="465"/>
      <c r="I1754" s="465">
        <v>2</v>
      </c>
      <c r="J1754" s="465">
        <v>1</v>
      </c>
    </row>
    <row r="1755" spans="1:10">
      <c r="A1755" s="465">
        <v>70</v>
      </c>
      <c r="B1755" s="788" t="s">
        <v>4512</v>
      </c>
      <c r="C1755" s="465" t="s">
        <v>4469</v>
      </c>
      <c r="D1755" s="465">
        <v>154</v>
      </c>
      <c r="E1755" s="465" t="s">
        <v>1737</v>
      </c>
      <c r="F1755" s="465" t="s">
        <v>2116</v>
      </c>
      <c r="G1755" s="465"/>
      <c r="H1755" s="465"/>
      <c r="I1755" s="465">
        <v>70</v>
      </c>
      <c r="J1755" s="465">
        <v>84</v>
      </c>
    </row>
    <row r="1756" spans="1:10">
      <c r="A1756" s="465">
        <v>71</v>
      </c>
      <c r="B1756" s="788" t="s">
        <v>4513</v>
      </c>
      <c r="C1756" s="465" t="s">
        <v>4469</v>
      </c>
      <c r="D1756" s="465">
        <v>6</v>
      </c>
      <c r="E1756" s="465" t="s">
        <v>1737</v>
      </c>
      <c r="F1756" s="465" t="s">
        <v>2116</v>
      </c>
      <c r="G1756" s="465"/>
      <c r="H1756" s="465"/>
      <c r="I1756" s="465">
        <v>3</v>
      </c>
      <c r="J1756" s="465">
        <v>3</v>
      </c>
    </row>
    <row r="1757" spans="1:10">
      <c r="A1757" s="465">
        <v>72</v>
      </c>
      <c r="B1757" s="788" t="s">
        <v>4514</v>
      </c>
      <c r="C1757" s="465" t="s">
        <v>4469</v>
      </c>
      <c r="D1757" s="465">
        <v>70</v>
      </c>
      <c r="E1757" s="465" t="s">
        <v>1737</v>
      </c>
      <c r="F1757" s="465" t="s">
        <v>2116</v>
      </c>
      <c r="G1757" s="465"/>
      <c r="H1757" s="465"/>
      <c r="I1757" s="465">
        <v>35</v>
      </c>
      <c r="J1757" s="465">
        <v>35</v>
      </c>
    </row>
    <row r="1758" spans="1:10">
      <c r="A1758" s="465">
        <v>73</v>
      </c>
      <c r="B1758" s="788" t="s">
        <v>4515</v>
      </c>
      <c r="C1758" s="465" t="s">
        <v>4469</v>
      </c>
      <c r="D1758" s="465">
        <v>7</v>
      </c>
      <c r="E1758" s="465" t="s">
        <v>1737</v>
      </c>
      <c r="F1758" s="465" t="s">
        <v>2116</v>
      </c>
      <c r="G1758" s="465"/>
      <c r="H1758" s="465"/>
      <c r="I1758" s="465">
        <v>4</v>
      </c>
      <c r="J1758" s="465">
        <v>3</v>
      </c>
    </row>
    <row r="1759" spans="1:10">
      <c r="A1759" s="465">
        <v>74</v>
      </c>
      <c r="B1759" s="788" t="s">
        <v>4516</v>
      </c>
      <c r="C1759" s="465" t="s">
        <v>4469</v>
      </c>
      <c r="D1759" s="465">
        <v>7</v>
      </c>
      <c r="E1759" s="465" t="s">
        <v>1737</v>
      </c>
      <c r="F1759" s="465" t="s">
        <v>2116</v>
      </c>
      <c r="G1759" s="465"/>
      <c r="H1759" s="465"/>
      <c r="I1759" s="465">
        <v>4</v>
      </c>
      <c r="J1759" s="465">
        <v>3</v>
      </c>
    </row>
    <row r="1760" spans="1:10">
      <c r="A1760" s="465">
        <v>75</v>
      </c>
      <c r="B1760" s="788" t="s">
        <v>4517</v>
      </c>
      <c r="C1760" s="465" t="s">
        <v>4475</v>
      </c>
      <c r="D1760" s="465">
        <v>5</v>
      </c>
      <c r="E1760" s="465" t="s">
        <v>1737</v>
      </c>
      <c r="F1760" s="465" t="s">
        <v>2116</v>
      </c>
      <c r="G1760" s="465"/>
      <c r="H1760" s="465"/>
      <c r="I1760" s="465">
        <v>2</v>
      </c>
      <c r="J1760" s="465">
        <v>3</v>
      </c>
    </row>
    <row r="1761" spans="1:10">
      <c r="A1761" s="465">
        <v>76</v>
      </c>
      <c r="B1761" s="788" t="s">
        <v>4518</v>
      </c>
      <c r="C1761" s="465" t="s">
        <v>4469</v>
      </c>
      <c r="D1761" s="465">
        <v>55</v>
      </c>
      <c r="E1761" s="465" t="s">
        <v>1737</v>
      </c>
      <c r="F1761" s="465" t="s">
        <v>2116</v>
      </c>
      <c r="G1761" s="465"/>
      <c r="H1761" s="465"/>
      <c r="I1761" s="465">
        <v>30</v>
      </c>
      <c r="J1761" s="465">
        <v>25</v>
      </c>
    </row>
    <row r="1762" spans="1:10">
      <c r="A1762" s="465">
        <v>77</v>
      </c>
      <c r="B1762" s="788" t="s">
        <v>4519</v>
      </c>
      <c r="C1762" s="465" t="s">
        <v>4469</v>
      </c>
      <c r="D1762" s="465">
        <v>10</v>
      </c>
      <c r="E1762" s="465" t="s">
        <v>1737</v>
      </c>
      <c r="F1762" s="465" t="s">
        <v>2116</v>
      </c>
      <c r="G1762" s="465"/>
      <c r="H1762" s="465"/>
      <c r="I1762" s="465">
        <v>5</v>
      </c>
      <c r="J1762" s="465">
        <v>5</v>
      </c>
    </row>
    <row r="1763" spans="1:10">
      <c r="A1763" s="465">
        <v>78</v>
      </c>
      <c r="B1763" s="788" t="s">
        <v>4520</v>
      </c>
      <c r="C1763" s="465" t="s">
        <v>4469</v>
      </c>
      <c r="D1763" s="465">
        <v>25</v>
      </c>
      <c r="E1763" s="465" t="s">
        <v>1737</v>
      </c>
      <c r="F1763" s="465" t="s">
        <v>2116</v>
      </c>
      <c r="G1763" s="465"/>
      <c r="H1763" s="465"/>
      <c r="I1763" s="465">
        <v>15</v>
      </c>
      <c r="J1763" s="465">
        <v>10</v>
      </c>
    </row>
    <row r="1764" spans="1:10">
      <c r="A1764" s="465">
        <v>79</v>
      </c>
      <c r="B1764" s="788" t="s">
        <v>4521</v>
      </c>
      <c r="C1764" s="465" t="s">
        <v>4469</v>
      </c>
      <c r="D1764" s="465">
        <v>10</v>
      </c>
      <c r="E1764" s="465" t="s">
        <v>1737</v>
      </c>
      <c r="F1764" s="465" t="s">
        <v>2116</v>
      </c>
      <c r="G1764" s="465"/>
      <c r="H1764" s="465"/>
      <c r="I1764" s="465">
        <v>5</v>
      </c>
      <c r="J1764" s="465">
        <v>5</v>
      </c>
    </row>
    <row r="1765" spans="1:10">
      <c r="A1765" s="465">
        <v>80</v>
      </c>
      <c r="B1765" s="788" t="s">
        <v>4522</v>
      </c>
      <c r="C1765" s="465" t="s">
        <v>4469</v>
      </c>
      <c r="D1765" s="465">
        <v>10</v>
      </c>
      <c r="E1765" s="465" t="s">
        <v>1737</v>
      </c>
      <c r="F1765" s="465" t="s">
        <v>2116</v>
      </c>
      <c r="G1765" s="465"/>
      <c r="H1765" s="465"/>
      <c r="I1765" s="465">
        <v>5</v>
      </c>
      <c r="J1765" s="465">
        <v>5</v>
      </c>
    </row>
    <row r="1766" spans="1:10">
      <c r="A1766" s="465">
        <v>81</v>
      </c>
      <c r="B1766" s="788" t="s">
        <v>4523</v>
      </c>
      <c r="C1766" s="465" t="s">
        <v>4475</v>
      </c>
      <c r="D1766" s="465">
        <v>2</v>
      </c>
      <c r="E1766" s="465" t="s">
        <v>1737</v>
      </c>
      <c r="F1766" s="465" t="s">
        <v>2116</v>
      </c>
      <c r="G1766" s="465"/>
      <c r="H1766" s="465"/>
      <c r="I1766" s="465">
        <v>1</v>
      </c>
      <c r="J1766" s="465">
        <v>1</v>
      </c>
    </row>
    <row r="1767" spans="1:10">
      <c r="A1767" s="465">
        <v>82</v>
      </c>
      <c r="B1767" s="788" t="s">
        <v>4524</v>
      </c>
      <c r="C1767" s="465" t="s">
        <v>4469</v>
      </c>
      <c r="D1767" s="465">
        <v>11</v>
      </c>
      <c r="E1767" s="465" t="s">
        <v>1737</v>
      </c>
      <c r="F1767" s="465" t="s">
        <v>2116</v>
      </c>
      <c r="G1767" s="465"/>
      <c r="H1767" s="465"/>
      <c r="I1767" s="465">
        <v>5</v>
      </c>
      <c r="J1767" s="465">
        <v>6</v>
      </c>
    </row>
    <row r="1768" spans="1:10">
      <c r="A1768" s="465">
        <v>83</v>
      </c>
      <c r="B1768" s="788" t="s">
        <v>4525</v>
      </c>
      <c r="C1768" s="465" t="s">
        <v>4469</v>
      </c>
      <c r="D1768" s="465">
        <v>1</v>
      </c>
      <c r="E1768" s="465" t="s">
        <v>1737</v>
      </c>
      <c r="F1768" s="465" t="s">
        <v>2116</v>
      </c>
      <c r="G1768" s="465"/>
      <c r="H1768" s="465"/>
      <c r="I1768" s="465">
        <v>1</v>
      </c>
      <c r="J1768" s="465"/>
    </row>
    <row r="1769" spans="1:10">
      <c r="A1769" s="465">
        <v>84</v>
      </c>
      <c r="B1769" s="788" t="s">
        <v>4526</v>
      </c>
      <c r="C1769" s="465" t="s">
        <v>4469</v>
      </c>
      <c r="D1769" s="465">
        <v>5</v>
      </c>
      <c r="E1769" s="465" t="s">
        <v>1737</v>
      </c>
      <c r="F1769" s="465" t="s">
        <v>2116</v>
      </c>
      <c r="G1769" s="465"/>
      <c r="H1769" s="465"/>
      <c r="I1769" s="465">
        <v>2</v>
      </c>
      <c r="J1769" s="465">
        <v>3</v>
      </c>
    </row>
    <row r="1770" spans="1:10">
      <c r="A1770" s="465">
        <v>85</v>
      </c>
      <c r="B1770" s="788" t="s">
        <v>4527</v>
      </c>
      <c r="C1770" s="465" t="s">
        <v>4469</v>
      </c>
      <c r="D1770" s="465">
        <v>1</v>
      </c>
      <c r="E1770" s="465" t="s">
        <v>1737</v>
      </c>
      <c r="F1770" s="465" t="s">
        <v>2116</v>
      </c>
      <c r="G1770" s="465"/>
      <c r="H1770" s="465"/>
      <c r="I1770" s="465">
        <v>1</v>
      </c>
      <c r="J1770" s="465"/>
    </row>
    <row r="1771" spans="1:10">
      <c r="A1771" s="465">
        <v>86</v>
      </c>
      <c r="B1771" s="788" t="s">
        <v>4528</v>
      </c>
      <c r="C1771" s="465" t="s">
        <v>4469</v>
      </c>
      <c r="D1771" s="465">
        <v>1</v>
      </c>
      <c r="E1771" s="465" t="s">
        <v>1737</v>
      </c>
      <c r="F1771" s="465" t="s">
        <v>2116</v>
      </c>
      <c r="G1771" s="465"/>
      <c r="H1771" s="465"/>
      <c r="I1771" s="465">
        <v>1</v>
      </c>
      <c r="J1771" s="465"/>
    </row>
    <row r="1772" spans="1:10">
      <c r="A1772" s="465">
        <v>87</v>
      </c>
      <c r="B1772" s="788" t="s">
        <v>4529</v>
      </c>
      <c r="C1772" s="465" t="s">
        <v>4475</v>
      </c>
      <c r="D1772" s="465">
        <v>1</v>
      </c>
      <c r="E1772" s="465" t="s">
        <v>1737</v>
      </c>
      <c r="F1772" s="465" t="s">
        <v>2116</v>
      </c>
      <c r="G1772" s="465"/>
      <c r="H1772" s="465"/>
      <c r="I1772" s="465">
        <v>1</v>
      </c>
      <c r="J1772" s="465"/>
    </row>
    <row r="1773" spans="1:10">
      <c r="A1773" s="465">
        <v>99</v>
      </c>
      <c r="B1773" s="788" t="s">
        <v>4530</v>
      </c>
      <c r="C1773" s="465" t="s">
        <v>4469</v>
      </c>
      <c r="D1773" s="465">
        <v>66</v>
      </c>
      <c r="E1773" s="465" t="s">
        <v>1737</v>
      </c>
      <c r="F1773" s="465" t="s">
        <v>2116</v>
      </c>
      <c r="G1773" s="465"/>
      <c r="H1773" s="465"/>
      <c r="I1773" s="465">
        <v>30</v>
      </c>
      <c r="J1773" s="465">
        <v>36</v>
      </c>
    </row>
    <row r="1774" spans="1:10">
      <c r="A1774" s="465">
        <v>100</v>
      </c>
      <c r="B1774" s="788" t="s">
        <v>4531</v>
      </c>
      <c r="C1774" s="465" t="s">
        <v>4469</v>
      </c>
      <c r="D1774" s="465">
        <v>3</v>
      </c>
      <c r="E1774" s="465" t="s">
        <v>1737</v>
      </c>
      <c r="F1774" s="465" t="s">
        <v>2116</v>
      </c>
      <c r="G1774" s="465"/>
      <c r="H1774" s="465"/>
      <c r="I1774" s="465">
        <v>2</v>
      </c>
      <c r="J1774" s="465">
        <v>1</v>
      </c>
    </row>
    <row r="1775" spans="1:10">
      <c r="A1775" s="465">
        <v>101</v>
      </c>
      <c r="B1775" s="788" t="s">
        <v>4532</v>
      </c>
      <c r="C1775" s="465" t="s">
        <v>4469</v>
      </c>
      <c r="D1775" s="465">
        <v>32</v>
      </c>
      <c r="E1775" s="465" t="s">
        <v>1737</v>
      </c>
      <c r="F1775" s="465" t="s">
        <v>2116</v>
      </c>
      <c r="G1775" s="465"/>
      <c r="H1775" s="465"/>
      <c r="I1775" s="465">
        <v>15</v>
      </c>
      <c r="J1775" s="465">
        <v>17</v>
      </c>
    </row>
    <row r="1776" spans="1:10">
      <c r="A1776" s="465">
        <v>102</v>
      </c>
      <c r="B1776" s="788" t="s">
        <v>4533</v>
      </c>
      <c r="C1776" s="465" t="s">
        <v>4469</v>
      </c>
      <c r="D1776" s="465">
        <v>3</v>
      </c>
      <c r="E1776" s="465" t="s">
        <v>1737</v>
      </c>
      <c r="F1776" s="465" t="s">
        <v>2116</v>
      </c>
      <c r="G1776" s="465"/>
      <c r="H1776" s="465"/>
      <c r="I1776" s="465">
        <v>2</v>
      </c>
      <c r="J1776" s="465">
        <v>1</v>
      </c>
    </row>
    <row r="1777" spans="1:10">
      <c r="A1777" s="465">
        <v>103</v>
      </c>
      <c r="B1777" s="788" t="s">
        <v>4534</v>
      </c>
      <c r="C1777" s="465" t="s">
        <v>4469</v>
      </c>
      <c r="D1777" s="465">
        <v>3</v>
      </c>
      <c r="E1777" s="465" t="s">
        <v>1737</v>
      </c>
      <c r="F1777" s="465" t="s">
        <v>2116</v>
      </c>
      <c r="G1777" s="465"/>
      <c r="H1777" s="465"/>
      <c r="I1777" s="465">
        <v>2</v>
      </c>
      <c r="J1777" s="465">
        <v>1</v>
      </c>
    </row>
    <row r="1778" spans="1:10">
      <c r="A1778" s="465">
        <v>104</v>
      </c>
      <c r="B1778" s="788" t="s">
        <v>4535</v>
      </c>
      <c r="C1778" s="465" t="s">
        <v>4469</v>
      </c>
      <c r="D1778" s="465">
        <v>12</v>
      </c>
      <c r="E1778" s="465" t="s">
        <v>1737</v>
      </c>
      <c r="F1778" s="465" t="s">
        <v>2116</v>
      </c>
      <c r="G1778" s="465"/>
      <c r="H1778" s="465"/>
      <c r="I1778" s="465">
        <v>6</v>
      </c>
      <c r="J1778" s="465">
        <v>6</v>
      </c>
    </row>
    <row r="1779" spans="1:10">
      <c r="A1779" s="465">
        <v>105</v>
      </c>
      <c r="B1779" s="788" t="s">
        <v>4536</v>
      </c>
      <c r="C1779" s="465" t="s">
        <v>4469</v>
      </c>
      <c r="D1779" s="465">
        <v>3</v>
      </c>
      <c r="E1779" s="465" t="s">
        <v>1737</v>
      </c>
      <c r="F1779" s="465" t="s">
        <v>2116</v>
      </c>
      <c r="G1779" s="465"/>
      <c r="H1779" s="465"/>
      <c r="I1779" s="465">
        <v>2</v>
      </c>
      <c r="J1779" s="465">
        <v>1</v>
      </c>
    </row>
    <row r="1780" spans="1:10">
      <c r="A1780" s="465">
        <v>106</v>
      </c>
      <c r="B1780" s="788" t="s">
        <v>4537</v>
      </c>
      <c r="C1780" s="465" t="s">
        <v>4469</v>
      </c>
      <c r="D1780" s="465">
        <v>6</v>
      </c>
      <c r="E1780" s="465" t="s">
        <v>1737</v>
      </c>
      <c r="F1780" s="465" t="s">
        <v>2116</v>
      </c>
      <c r="G1780" s="465"/>
      <c r="H1780" s="465"/>
      <c r="I1780" s="465">
        <v>3</v>
      </c>
      <c r="J1780" s="465">
        <v>3</v>
      </c>
    </row>
    <row r="1781" spans="1:10">
      <c r="A1781" s="465">
        <v>107</v>
      </c>
      <c r="B1781" s="788" t="s">
        <v>4538</v>
      </c>
      <c r="C1781" s="465" t="s">
        <v>4469</v>
      </c>
      <c r="D1781" s="465">
        <v>3</v>
      </c>
      <c r="E1781" s="465" t="s">
        <v>1737</v>
      </c>
      <c r="F1781" s="465" t="s">
        <v>2116</v>
      </c>
      <c r="G1781" s="465"/>
      <c r="H1781" s="465"/>
      <c r="I1781" s="465">
        <v>2</v>
      </c>
      <c r="J1781" s="465">
        <v>1</v>
      </c>
    </row>
    <row r="1782" spans="1:10">
      <c r="A1782" s="465">
        <v>108</v>
      </c>
      <c r="B1782" s="788" t="s">
        <v>4539</v>
      </c>
      <c r="C1782" s="465" t="s">
        <v>4469</v>
      </c>
      <c r="D1782" s="465">
        <v>3</v>
      </c>
      <c r="E1782" s="465" t="s">
        <v>1737</v>
      </c>
      <c r="F1782" s="465" t="s">
        <v>2116</v>
      </c>
      <c r="G1782" s="465"/>
      <c r="H1782" s="465"/>
      <c r="I1782" s="465">
        <v>2</v>
      </c>
      <c r="J1782" s="465">
        <v>1</v>
      </c>
    </row>
    <row r="1783" spans="1:10">
      <c r="A1783" s="465">
        <v>109</v>
      </c>
      <c r="B1783" s="788" t="s">
        <v>4540</v>
      </c>
      <c r="C1783" s="465" t="s">
        <v>4469</v>
      </c>
      <c r="D1783" s="465">
        <v>28</v>
      </c>
      <c r="E1783" s="465" t="s">
        <v>1737</v>
      </c>
      <c r="F1783" s="465" t="s">
        <v>2116</v>
      </c>
      <c r="G1783" s="465"/>
      <c r="H1783" s="465"/>
      <c r="I1783" s="465">
        <v>14</v>
      </c>
      <c r="J1783" s="465">
        <v>14</v>
      </c>
    </row>
    <row r="1784" spans="1:10">
      <c r="A1784" s="465">
        <v>110</v>
      </c>
      <c r="B1784" s="788" t="s">
        <v>4541</v>
      </c>
      <c r="C1784" s="465" t="s">
        <v>4469</v>
      </c>
      <c r="D1784" s="465">
        <v>14</v>
      </c>
      <c r="E1784" s="465" t="s">
        <v>1737</v>
      </c>
      <c r="F1784" s="465" t="s">
        <v>2116</v>
      </c>
      <c r="G1784" s="465"/>
      <c r="H1784" s="465"/>
      <c r="I1784" s="465">
        <v>7</v>
      </c>
      <c r="J1784" s="465">
        <v>7</v>
      </c>
    </row>
    <row r="1785" spans="1:10">
      <c r="A1785" s="465">
        <v>111</v>
      </c>
      <c r="B1785" s="788" t="s">
        <v>4542</v>
      </c>
      <c r="C1785" s="465" t="s">
        <v>4543</v>
      </c>
      <c r="D1785" s="465">
        <v>4</v>
      </c>
      <c r="E1785" s="465" t="s">
        <v>1737</v>
      </c>
      <c r="F1785" s="465" t="s">
        <v>2116</v>
      </c>
      <c r="G1785" s="465"/>
      <c r="H1785" s="465"/>
      <c r="I1785" s="465">
        <v>2</v>
      </c>
      <c r="J1785" s="465">
        <v>2</v>
      </c>
    </row>
    <row r="1786" spans="1:10">
      <c r="A1786" s="465">
        <v>112</v>
      </c>
      <c r="B1786" s="788" t="s">
        <v>4544</v>
      </c>
      <c r="C1786" s="465" t="s">
        <v>4475</v>
      </c>
      <c r="D1786" s="465">
        <v>24</v>
      </c>
      <c r="E1786" s="465" t="s">
        <v>4464</v>
      </c>
      <c r="F1786" s="465" t="s">
        <v>2116</v>
      </c>
      <c r="G1786" s="465"/>
      <c r="H1786" s="465"/>
      <c r="I1786" s="465">
        <v>12</v>
      </c>
      <c r="J1786" s="465">
        <v>12</v>
      </c>
    </row>
    <row r="1787" spans="1:10">
      <c r="A1787" s="465">
        <v>113</v>
      </c>
      <c r="B1787" s="788" t="s">
        <v>4545</v>
      </c>
      <c r="C1787" s="465" t="s">
        <v>4475</v>
      </c>
      <c r="D1787" s="465">
        <v>8</v>
      </c>
      <c r="E1787" s="465" t="s">
        <v>4464</v>
      </c>
      <c r="F1787" s="465" t="s">
        <v>2116</v>
      </c>
      <c r="G1787" s="465"/>
      <c r="H1787" s="465"/>
      <c r="I1787" s="465">
        <v>4</v>
      </c>
      <c r="J1787" s="465">
        <v>4</v>
      </c>
    </row>
    <row r="1788" spans="1:10">
      <c r="A1788" s="465">
        <v>114</v>
      </c>
      <c r="B1788" s="788" t="s">
        <v>4546</v>
      </c>
      <c r="C1788" s="465" t="s">
        <v>4475</v>
      </c>
      <c r="D1788" s="465">
        <v>6</v>
      </c>
      <c r="E1788" s="465" t="s">
        <v>1737</v>
      </c>
      <c r="F1788" s="465" t="s">
        <v>2116</v>
      </c>
      <c r="G1788" s="465"/>
      <c r="H1788" s="465"/>
      <c r="I1788" s="465">
        <v>3</v>
      </c>
      <c r="J1788" s="465">
        <v>3</v>
      </c>
    </row>
    <row r="1789" spans="1:10">
      <c r="A1789" s="465">
        <v>115</v>
      </c>
      <c r="B1789" s="788" t="s">
        <v>4547</v>
      </c>
      <c r="C1789" s="465" t="s">
        <v>4475</v>
      </c>
      <c r="D1789" s="465">
        <v>12</v>
      </c>
      <c r="E1789" s="465" t="s">
        <v>4464</v>
      </c>
      <c r="F1789" s="465" t="s">
        <v>2116</v>
      </c>
      <c r="G1789" s="465"/>
      <c r="H1789" s="465"/>
      <c r="I1789" s="465">
        <v>6</v>
      </c>
      <c r="J1789" s="465">
        <v>6</v>
      </c>
    </row>
    <row r="1790" spans="1:10">
      <c r="A1790" s="465">
        <v>116</v>
      </c>
      <c r="B1790" s="788" t="s">
        <v>4548</v>
      </c>
      <c r="C1790" s="465" t="s">
        <v>4475</v>
      </c>
      <c r="D1790" s="465">
        <v>4</v>
      </c>
      <c r="E1790" s="465" t="s">
        <v>4464</v>
      </c>
      <c r="F1790" s="465" t="s">
        <v>2116</v>
      </c>
      <c r="G1790" s="465"/>
      <c r="H1790" s="465"/>
      <c r="I1790" s="465">
        <v>2</v>
      </c>
      <c r="J1790" s="465">
        <v>2</v>
      </c>
    </row>
    <row r="1791" spans="1:10">
      <c r="A1791" s="465">
        <v>117</v>
      </c>
      <c r="B1791" s="788" t="s">
        <v>4549</v>
      </c>
      <c r="C1791" s="465" t="s">
        <v>4550</v>
      </c>
      <c r="D1791" s="465">
        <v>10</v>
      </c>
      <c r="E1791" s="465" t="s">
        <v>1737</v>
      </c>
      <c r="F1791" s="465" t="s">
        <v>2116</v>
      </c>
      <c r="G1791" s="465"/>
      <c r="H1791" s="465"/>
      <c r="I1791" s="465">
        <v>5</v>
      </c>
      <c r="J1791" s="465">
        <v>5</v>
      </c>
    </row>
    <row r="1792" spans="1:10">
      <c r="A1792" s="465">
        <v>118</v>
      </c>
      <c r="B1792" s="788" t="s">
        <v>4551</v>
      </c>
      <c r="C1792" s="465" t="s">
        <v>4475</v>
      </c>
      <c r="D1792" s="465">
        <v>24</v>
      </c>
      <c r="E1792" s="465" t="s">
        <v>791</v>
      </c>
      <c r="F1792" s="465" t="s">
        <v>2116</v>
      </c>
      <c r="G1792" s="465"/>
      <c r="H1792" s="465"/>
      <c r="I1792" s="465">
        <v>12</v>
      </c>
      <c r="J1792" s="465">
        <v>12</v>
      </c>
    </row>
    <row r="1793" spans="1:10">
      <c r="A1793" s="465">
        <v>119</v>
      </c>
      <c r="B1793" s="788" t="s">
        <v>4552</v>
      </c>
      <c r="C1793" s="465" t="s">
        <v>4475</v>
      </c>
      <c r="D1793" s="465">
        <v>8</v>
      </c>
      <c r="E1793" s="465" t="s">
        <v>1737</v>
      </c>
      <c r="F1793" s="465" t="s">
        <v>2116</v>
      </c>
      <c r="G1793" s="465"/>
      <c r="H1793" s="465"/>
      <c r="I1793" s="465">
        <v>4</v>
      </c>
      <c r="J1793" s="465">
        <v>4</v>
      </c>
    </row>
    <row r="1794" spans="1:10">
      <c r="A1794" s="465">
        <v>120</v>
      </c>
      <c r="B1794" s="788" t="s">
        <v>4553</v>
      </c>
      <c r="C1794" s="465" t="s">
        <v>4475</v>
      </c>
      <c r="D1794" s="465">
        <v>6</v>
      </c>
      <c r="E1794" s="465" t="s">
        <v>1737</v>
      </c>
      <c r="F1794" s="465" t="s">
        <v>2116</v>
      </c>
      <c r="G1794" s="465"/>
      <c r="H1794" s="465"/>
      <c r="I1794" s="465">
        <v>3</v>
      </c>
      <c r="J1794" s="465">
        <v>3</v>
      </c>
    </row>
    <row r="1795" spans="1:10">
      <c r="A1795" s="465">
        <v>121</v>
      </c>
      <c r="B1795" s="788" t="s">
        <v>4554</v>
      </c>
      <c r="C1795" s="465" t="s">
        <v>4475</v>
      </c>
      <c r="D1795" s="465">
        <v>1</v>
      </c>
      <c r="E1795" s="465" t="s">
        <v>1737</v>
      </c>
      <c r="F1795" s="465" t="s">
        <v>2116</v>
      </c>
      <c r="G1795" s="465"/>
      <c r="H1795" s="465"/>
      <c r="I1795" s="465">
        <v>1</v>
      </c>
      <c r="J1795" s="465"/>
    </row>
    <row r="1796" spans="1:10">
      <c r="A1796" s="465">
        <v>122</v>
      </c>
      <c r="B1796" s="788" t="s">
        <v>4555</v>
      </c>
      <c r="C1796" s="465" t="s">
        <v>4556</v>
      </c>
      <c r="D1796" s="465">
        <v>1</v>
      </c>
      <c r="E1796" s="465" t="s">
        <v>1737</v>
      </c>
      <c r="F1796" s="465" t="s">
        <v>2116</v>
      </c>
      <c r="G1796" s="465"/>
      <c r="H1796" s="465"/>
      <c r="I1796" s="465">
        <v>1</v>
      </c>
      <c r="J1796" s="465"/>
    </row>
    <row r="1797" spans="1:10">
      <c r="A1797" s="465">
        <v>123</v>
      </c>
      <c r="B1797" s="788" t="s">
        <v>4557</v>
      </c>
      <c r="C1797" s="465" t="s">
        <v>4475</v>
      </c>
      <c r="D1797" s="465">
        <v>3</v>
      </c>
      <c r="E1797" s="465" t="s">
        <v>1737</v>
      </c>
      <c r="F1797" s="465" t="s">
        <v>2116</v>
      </c>
      <c r="G1797" s="465"/>
      <c r="H1797" s="465"/>
      <c r="I1797" s="465">
        <v>2</v>
      </c>
      <c r="J1797" s="465">
        <v>1</v>
      </c>
    </row>
    <row r="1798" spans="1:10">
      <c r="A1798" s="465">
        <v>124</v>
      </c>
      <c r="B1798" s="788" t="s">
        <v>4558</v>
      </c>
      <c r="C1798" s="465" t="s">
        <v>4559</v>
      </c>
      <c r="D1798" s="465">
        <v>10</v>
      </c>
      <c r="E1798" s="465" t="s">
        <v>1737</v>
      </c>
      <c r="F1798" s="465" t="s">
        <v>2116</v>
      </c>
      <c r="G1798" s="465"/>
      <c r="H1798" s="465"/>
      <c r="I1798" s="465">
        <v>5</v>
      </c>
      <c r="J1798" s="465">
        <v>5</v>
      </c>
    </row>
    <row r="1799" spans="1:10">
      <c r="A1799" s="465">
        <v>125</v>
      </c>
      <c r="B1799" s="788" t="s">
        <v>4560</v>
      </c>
      <c r="C1799" s="465" t="s">
        <v>4561</v>
      </c>
      <c r="D1799" s="465">
        <v>3</v>
      </c>
      <c r="E1799" s="465" t="s">
        <v>1737</v>
      </c>
      <c r="F1799" s="465" t="s">
        <v>2116</v>
      </c>
      <c r="G1799" s="465"/>
      <c r="H1799" s="465"/>
      <c r="I1799" s="465">
        <v>2</v>
      </c>
      <c r="J1799" s="465">
        <v>1</v>
      </c>
    </row>
    <row r="1800" spans="1:10">
      <c r="A1800" s="465">
        <v>126</v>
      </c>
      <c r="B1800" s="788" t="s">
        <v>4562</v>
      </c>
      <c r="C1800" s="465" t="s">
        <v>4563</v>
      </c>
      <c r="D1800" s="465">
        <v>2</v>
      </c>
      <c r="E1800" s="465" t="s">
        <v>1737</v>
      </c>
      <c r="F1800" s="465" t="s">
        <v>2116</v>
      </c>
      <c r="G1800" s="465"/>
      <c r="H1800" s="465"/>
      <c r="I1800" s="465">
        <v>1</v>
      </c>
      <c r="J1800" s="465">
        <v>1</v>
      </c>
    </row>
    <row r="1801" spans="1:10">
      <c r="A1801" s="1026" t="s">
        <v>3059</v>
      </c>
      <c r="B1801" s="1027"/>
      <c r="C1801" s="1027"/>
      <c r="D1801" s="1027"/>
      <c r="E1801" s="1027"/>
      <c r="F1801" s="1027"/>
      <c r="G1801" s="1027"/>
      <c r="H1801" s="1027"/>
      <c r="I1801" s="1027"/>
      <c r="J1801" s="1028"/>
    </row>
    <row r="1802" spans="1:10" ht="45">
      <c r="A1802" s="761">
        <v>1</v>
      </c>
      <c r="B1802" s="786" t="s">
        <v>690</v>
      </c>
      <c r="C1802" s="761" t="s">
        <v>691</v>
      </c>
      <c r="D1802" s="761" t="s">
        <v>286</v>
      </c>
      <c r="E1802" s="761">
        <f>G1802+H1802+I1802+J1802</f>
        <v>2</v>
      </c>
      <c r="F1802" s="761" t="s">
        <v>2086</v>
      </c>
      <c r="G1802" s="761"/>
      <c r="H1802" s="761">
        <v>2</v>
      </c>
      <c r="I1802" s="761"/>
      <c r="J1802" s="761"/>
    </row>
    <row r="1803" spans="1:10">
      <c r="A1803" s="761">
        <v>2</v>
      </c>
      <c r="B1803" s="786" t="s">
        <v>624</v>
      </c>
      <c r="C1803" s="761" t="s">
        <v>625</v>
      </c>
      <c r="D1803" s="761" t="s">
        <v>286</v>
      </c>
      <c r="E1803" s="761">
        <f>G1803+H1803+I1803+J1803</f>
        <v>5</v>
      </c>
      <c r="F1803" s="761" t="s">
        <v>4564</v>
      </c>
      <c r="G1803" s="761">
        <v>2</v>
      </c>
      <c r="H1803" s="761">
        <v>3</v>
      </c>
      <c r="I1803" s="761"/>
      <c r="J1803" s="761"/>
    </row>
    <row r="1804" spans="1:10" ht="30">
      <c r="A1804" s="761">
        <v>3</v>
      </c>
      <c r="B1804" s="786" t="s">
        <v>2211</v>
      </c>
      <c r="C1804" s="761" t="s">
        <v>626</v>
      </c>
      <c r="D1804" s="761" t="s">
        <v>286</v>
      </c>
      <c r="E1804" s="761">
        <f>G1804+H1804+I1804+J1804</f>
        <v>5</v>
      </c>
      <c r="F1804" s="761" t="s">
        <v>4564</v>
      </c>
      <c r="G1804" s="761">
        <v>2</v>
      </c>
      <c r="H1804" s="761"/>
      <c r="I1804" s="761">
        <v>3</v>
      </c>
      <c r="J1804" s="761"/>
    </row>
    <row r="1805" spans="1:10">
      <c r="A1805" s="761">
        <v>4</v>
      </c>
      <c r="B1805" s="786" t="s">
        <v>2212</v>
      </c>
      <c r="C1805" s="761"/>
      <c r="D1805" s="761" t="s">
        <v>286</v>
      </c>
      <c r="E1805" s="761">
        <v>6</v>
      </c>
      <c r="F1805" s="761" t="s">
        <v>4565</v>
      </c>
      <c r="G1805" s="761">
        <v>5</v>
      </c>
      <c r="H1805" s="761">
        <v>1</v>
      </c>
      <c r="I1805" s="761"/>
      <c r="J1805" s="761"/>
    </row>
    <row r="1806" spans="1:10">
      <c r="A1806" s="761">
        <v>5</v>
      </c>
      <c r="B1806" s="786" t="s">
        <v>2242</v>
      </c>
      <c r="C1806" s="761" t="s">
        <v>2242</v>
      </c>
      <c r="D1806" s="761" t="s">
        <v>286</v>
      </c>
      <c r="E1806" s="761">
        <v>6</v>
      </c>
      <c r="F1806" s="761" t="s">
        <v>4565</v>
      </c>
      <c r="G1806" s="761">
        <v>5</v>
      </c>
      <c r="H1806" s="761">
        <v>1</v>
      </c>
      <c r="I1806" s="761"/>
      <c r="J1806" s="761"/>
    </row>
    <row r="1807" spans="1:10" ht="60">
      <c r="A1807" s="761">
        <v>6</v>
      </c>
      <c r="B1807" s="786" t="s">
        <v>2214</v>
      </c>
      <c r="C1807" s="761" t="s">
        <v>2215</v>
      </c>
      <c r="D1807" s="761" t="s">
        <v>286</v>
      </c>
      <c r="E1807" s="761">
        <f>G1807+H1807+I1807+J1807</f>
        <v>10</v>
      </c>
      <c r="F1807" s="761" t="s">
        <v>4566</v>
      </c>
      <c r="G1807" s="761"/>
      <c r="H1807" s="761">
        <v>10</v>
      </c>
      <c r="I1807" s="761"/>
      <c r="J1807" s="761"/>
    </row>
    <row r="1808" spans="1:10" ht="75">
      <c r="A1808" s="761">
        <v>7</v>
      </c>
      <c r="B1808" s="786" t="s">
        <v>671</v>
      </c>
      <c r="C1808" s="761" t="s">
        <v>678</v>
      </c>
      <c r="D1808" s="761" t="s">
        <v>286</v>
      </c>
      <c r="E1808" s="761">
        <v>23</v>
      </c>
      <c r="F1808" s="761" t="s">
        <v>4567</v>
      </c>
      <c r="G1808" s="761">
        <v>13</v>
      </c>
      <c r="H1808" s="761">
        <v>10</v>
      </c>
      <c r="I1808" s="761"/>
      <c r="J1808" s="761"/>
    </row>
    <row r="1809" spans="1:10" ht="75">
      <c r="A1809" s="761">
        <v>8</v>
      </c>
      <c r="B1809" s="786" t="s">
        <v>679</v>
      </c>
      <c r="C1809" s="761" t="s">
        <v>4568</v>
      </c>
      <c r="D1809" s="761" t="s">
        <v>286</v>
      </c>
      <c r="E1809" s="761">
        <f>G1809+H1809+I1809+J1809</f>
        <v>23</v>
      </c>
      <c r="F1809" s="761" t="s">
        <v>4567</v>
      </c>
      <c r="G1809" s="761">
        <v>13</v>
      </c>
      <c r="H1809" s="761">
        <v>10</v>
      </c>
      <c r="I1809" s="761"/>
      <c r="J1809" s="761"/>
    </row>
    <row r="1810" spans="1:10" ht="75">
      <c r="A1810" s="761"/>
      <c r="B1810" s="786" t="s">
        <v>4569</v>
      </c>
      <c r="C1810" s="761" t="s">
        <v>4570</v>
      </c>
      <c r="D1810" s="761" t="s">
        <v>286</v>
      </c>
      <c r="E1810" s="761">
        <f>G1810+H1810+I1810+J1810</f>
        <v>28</v>
      </c>
      <c r="F1810" s="761" t="s">
        <v>4571</v>
      </c>
      <c r="G1810" s="761">
        <v>18</v>
      </c>
      <c r="H1810" s="761">
        <v>10</v>
      </c>
      <c r="I1810" s="761"/>
      <c r="J1810" s="761"/>
    </row>
    <row r="1811" spans="1:10">
      <c r="A1811" s="761">
        <v>10</v>
      </c>
      <c r="B1811" s="786" t="s">
        <v>2229</v>
      </c>
      <c r="C1811" s="761" t="s">
        <v>2230</v>
      </c>
      <c r="D1811" s="761" t="s">
        <v>286</v>
      </c>
      <c r="E1811" s="761">
        <f t="shared" ref="E1811:E1816" si="65">G1811+H1811+I1811+J1811</f>
        <v>4</v>
      </c>
      <c r="F1811" s="761" t="s">
        <v>2216</v>
      </c>
      <c r="G1811" s="761">
        <v>4</v>
      </c>
      <c r="H1811" s="761"/>
      <c r="I1811" s="761"/>
      <c r="J1811" s="761"/>
    </row>
    <row r="1812" spans="1:10">
      <c r="A1812" s="761">
        <v>11</v>
      </c>
      <c r="B1812" s="786" t="s">
        <v>2231</v>
      </c>
      <c r="C1812" s="761" t="s">
        <v>2232</v>
      </c>
      <c r="D1812" s="761" t="s">
        <v>286</v>
      </c>
      <c r="E1812" s="761">
        <f t="shared" si="65"/>
        <v>6</v>
      </c>
      <c r="F1812" s="761" t="s">
        <v>2216</v>
      </c>
      <c r="G1812" s="761">
        <v>6</v>
      </c>
      <c r="H1812" s="761"/>
      <c r="I1812" s="761"/>
      <c r="J1812" s="761"/>
    </row>
    <row r="1813" spans="1:10">
      <c r="A1813" s="761">
        <v>12</v>
      </c>
      <c r="B1813" s="786" t="s">
        <v>2233</v>
      </c>
      <c r="C1813" s="761" t="s">
        <v>2234</v>
      </c>
      <c r="D1813" s="761" t="s">
        <v>2235</v>
      </c>
      <c r="E1813" s="761">
        <f t="shared" si="65"/>
        <v>4</v>
      </c>
      <c r="F1813" s="761" t="s">
        <v>2216</v>
      </c>
      <c r="G1813" s="761">
        <v>4</v>
      </c>
      <c r="H1813" s="761"/>
      <c r="I1813" s="761"/>
      <c r="J1813" s="761"/>
    </row>
    <row r="1814" spans="1:10">
      <c r="A1814" s="761">
        <v>13</v>
      </c>
      <c r="B1814" s="786" t="s">
        <v>2236</v>
      </c>
      <c r="C1814" s="761" t="s">
        <v>2237</v>
      </c>
      <c r="D1814" s="761" t="s">
        <v>432</v>
      </c>
      <c r="E1814" s="761">
        <f t="shared" si="65"/>
        <v>1200</v>
      </c>
      <c r="F1814" s="761" t="s">
        <v>2216</v>
      </c>
      <c r="G1814" s="761">
        <v>1200</v>
      </c>
      <c r="H1814" s="761"/>
      <c r="I1814" s="761"/>
      <c r="J1814" s="761"/>
    </row>
    <row r="1815" spans="1:10" ht="30">
      <c r="A1815" s="761">
        <v>14</v>
      </c>
      <c r="B1815" s="786" t="s">
        <v>2238</v>
      </c>
      <c r="C1815" s="761" t="s">
        <v>2239</v>
      </c>
      <c r="D1815" s="761" t="s">
        <v>286</v>
      </c>
      <c r="E1815" s="761">
        <f t="shared" si="65"/>
        <v>36</v>
      </c>
      <c r="F1815" s="761" t="s">
        <v>2216</v>
      </c>
      <c r="G1815" s="761">
        <v>36</v>
      </c>
      <c r="H1815" s="761"/>
      <c r="I1815" s="761"/>
      <c r="J1815" s="761"/>
    </row>
    <row r="1816" spans="1:10" ht="30">
      <c r="A1816" s="761">
        <v>15</v>
      </c>
      <c r="B1816" s="786" t="s">
        <v>2240</v>
      </c>
      <c r="C1816" s="761" t="s">
        <v>2241</v>
      </c>
      <c r="D1816" s="761" t="s">
        <v>286</v>
      </c>
      <c r="E1816" s="761">
        <f t="shared" si="65"/>
        <v>24</v>
      </c>
      <c r="F1816" s="761" t="s">
        <v>2216</v>
      </c>
      <c r="G1816" s="761">
        <v>24</v>
      </c>
      <c r="H1816" s="761"/>
      <c r="I1816" s="761"/>
      <c r="J1816" s="761"/>
    </row>
    <row r="1817" spans="1:10">
      <c r="A1817" s="761">
        <v>18</v>
      </c>
      <c r="B1817" s="786" t="s">
        <v>2221</v>
      </c>
      <c r="C1817" s="761" t="s">
        <v>2222</v>
      </c>
      <c r="D1817" s="761" t="s">
        <v>390</v>
      </c>
      <c r="E1817" s="761">
        <f t="shared" ref="E1817:E1822" si="66">G1817+H1817+I1817+J1817</f>
        <v>10</v>
      </c>
      <c r="F1817" s="761" t="s">
        <v>4572</v>
      </c>
      <c r="G1817" s="761">
        <v>10</v>
      </c>
      <c r="H1817" s="761"/>
      <c r="I1817" s="761"/>
      <c r="J1817" s="761"/>
    </row>
    <row r="1818" spans="1:10">
      <c r="A1818" s="761">
        <v>19</v>
      </c>
      <c r="B1818" s="786"/>
      <c r="C1818" s="761" t="s">
        <v>2223</v>
      </c>
      <c r="D1818" s="761" t="s">
        <v>390</v>
      </c>
      <c r="E1818" s="761">
        <f t="shared" si="66"/>
        <v>10</v>
      </c>
      <c r="F1818" s="761" t="s">
        <v>4572</v>
      </c>
      <c r="G1818" s="761">
        <v>10</v>
      </c>
      <c r="H1818" s="761"/>
      <c r="I1818" s="761"/>
      <c r="J1818" s="761"/>
    </row>
    <row r="1819" spans="1:10">
      <c r="A1819" s="761">
        <v>20</v>
      </c>
      <c r="B1819" s="786"/>
      <c r="C1819" s="761" t="s">
        <v>2224</v>
      </c>
      <c r="D1819" s="761" t="s">
        <v>390</v>
      </c>
      <c r="E1819" s="761">
        <f t="shared" si="66"/>
        <v>10</v>
      </c>
      <c r="F1819" s="761" t="s">
        <v>4572</v>
      </c>
      <c r="G1819" s="761">
        <v>10</v>
      </c>
      <c r="H1819" s="761"/>
      <c r="I1819" s="761"/>
      <c r="J1819" s="761"/>
    </row>
    <row r="1820" spans="1:10">
      <c r="A1820" s="761">
        <v>21</v>
      </c>
      <c r="B1820" s="786"/>
      <c r="C1820" s="761" t="s">
        <v>2225</v>
      </c>
      <c r="D1820" s="761" t="s">
        <v>390</v>
      </c>
      <c r="E1820" s="761">
        <f t="shared" si="66"/>
        <v>10</v>
      </c>
      <c r="F1820" s="761" t="s">
        <v>4572</v>
      </c>
      <c r="G1820" s="761">
        <v>10</v>
      </c>
      <c r="H1820" s="761"/>
      <c r="I1820" s="761"/>
      <c r="J1820" s="761"/>
    </row>
    <row r="1821" spans="1:10">
      <c r="A1821" s="761">
        <v>22</v>
      </c>
      <c r="B1821" s="786"/>
      <c r="C1821" s="761" t="s">
        <v>2226</v>
      </c>
      <c r="D1821" s="761" t="s">
        <v>390</v>
      </c>
      <c r="E1821" s="761">
        <f t="shared" si="66"/>
        <v>10</v>
      </c>
      <c r="F1821" s="761" t="s">
        <v>4572</v>
      </c>
      <c r="G1821" s="761">
        <v>10</v>
      </c>
      <c r="H1821" s="761"/>
      <c r="I1821" s="761"/>
      <c r="J1821" s="761"/>
    </row>
    <row r="1822" spans="1:10" ht="30">
      <c r="A1822" s="761">
        <v>23</v>
      </c>
      <c r="B1822" s="786" t="s">
        <v>2227</v>
      </c>
      <c r="C1822" s="761" t="s">
        <v>4573</v>
      </c>
      <c r="D1822" s="761" t="s">
        <v>286</v>
      </c>
      <c r="E1822" s="761">
        <f t="shared" si="66"/>
        <v>4</v>
      </c>
      <c r="F1822" s="761" t="s">
        <v>4574</v>
      </c>
      <c r="G1822" s="761">
        <v>3</v>
      </c>
      <c r="H1822" s="761">
        <v>1</v>
      </c>
      <c r="I1822" s="761"/>
      <c r="J1822" s="761"/>
    </row>
    <row r="1823" spans="1:10" ht="30">
      <c r="A1823" s="761">
        <v>26</v>
      </c>
      <c r="B1823" s="786" t="s">
        <v>616</v>
      </c>
      <c r="C1823" s="761" t="s">
        <v>4575</v>
      </c>
      <c r="D1823" s="761" t="s">
        <v>286</v>
      </c>
      <c r="E1823" s="761">
        <v>3</v>
      </c>
      <c r="F1823" s="761" t="s">
        <v>4576</v>
      </c>
      <c r="G1823" s="761">
        <v>3</v>
      </c>
      <c r="H1823" s="761"/>
      <c r="I1823" s="761"/>
      <c r="J1823" s="761"/>
    </row>
    <row r="1824" spans="1:10">
      <c r="A1824" s="1026" t="s">
        <v>2147</v>
      </c>
      <c r="B1824" s="1027"/>
      <c r="C1824" s="1027"/>
      <c r="D1824" s="1027"/>
      <c r="E1824" s="1027"/>
      <c r="F1824" s="1027"/>
      <c r="G1824" s="1027"/>
      <c r="H1824" s="1027"/>
      <c r="I1824" s="1027"/>
      <c r="J1824" s="1028"/>
    </row>
    <row r="1825" spans="1:10" ht="287.25" customHeight="1">
      <c r="A1825" s="463">
        <v>1</v>
      </c>
      <c r="B1825" s="790" t="s">
        <v>811</v>
      </c>
      <c r="C1825" s="463" t="s">
        <v>812</v>
      </c>
      <c r="D1825" s="758" t="s">
        <v>126</v>
      </c>
      <c r="E1825" s="464">
        <f t="shared" ref="E1825:E1837" si="67">G1825+H1825+I1825+J1825</f>
        <v>10</v>
      </c>
      <c r="F1825" s="463" t="s">
        <v>2144</v>
      </c>
      <c r="G1825" s="451">
        <v>0</v>
      </c>
      <c r="H1825" s="463">
        <v>10</v>
      </c>
      <c r="I1825" s="463">
        <v>0</v>
      </c>
      <c r="J1825" s="759">
        <v>0</v>
      </c>
    </row>
    <row r="1826" spans="1:10" ht="90">
      <c r="A1826" s="463">
        <v>2</v>
      </c>
      <c r="B1826" s="801" t="s">
        <v>813</v>
      </c>
      <c r="C1826" s="463" t="s">
        <v>814</v>
      </c>
      <c r="D1826" s="758" t="s">
        <v>126</v>
      </c>
      <c r="E1826" s="464">
        <f t="shared" si="67"/>
        <v>7</v>
      </c>
      <c r="F1826" s="463" t="s">
        <v>2145</v>
      </c>
      <c r="G1826" s="451">
        <v>0</v>
      </c>
      <c r="H1826" s="463">
        <v>7</v>
      </c>
      <c r="I1826" s="463">
        <v>0</v>
      </c>
      <c r="J1826" s="446"/>
    </row>
    <row r="1827" spans="1:10" ht="90">
      <c r="A1827" s="463">
        <v>3</v>
      </c>
      <c r="B1827" s="801" t="s">
        <v>815</v>
      </c>
      <c r="C1827" s="463" t="s">
        <v>816</v>
      </c>
      <c r="D1827" s="758" t="s">
        <v>126</v>
      </c>
      <c r="E1827" s="464">
        <f t="shared" si="67"/>
        <v>4</v>
      </c>
      <c r="F1827" s="463" t="s">
        <v>836</v>
      </c>
      <c r="G1827" s="451">
        <v>0</v>
      </c>
      <c r="H1827" s="463">
        <v>4</v>
      </c>
      <c r="I1827" s="463">
        <v>0</v>
      </c>
      <c r="J1827" s="446"/>
    </row>
    <row r="1828" spans="1:10" ht="75">
      <c r="A1828" s="463">
        <v>4</v>
      </c>
      <c r="B1828" s="801" t="s">
        <v>817</v>
      </c>
      <c r="C1828" s="463" t="s">
        <v>818</v>
      </c>
      <c r="D1828" s="758" t="s">
        <v>126</v>
      </c>
      <c r="E1828" s="464">
        <f t="shared" si="67"/>
        <v>8</v>
      </c>
      <c r="F1828" s="463" t="s">
        <v>2146</v>
      </c>
      <c r="G1828" s="451">
        <v>0</v>
      </c>
      <c r="H1828" s="463">
        <v>4</v>
      </c>
      <c r="I1828" s="463">
        <v>4</v>
      </c>
      <c r="J1828" s="446"/>
    </row>
    <row r="1829" spans="1:10" ht="75">
      <c r="A1829" s="463">
        <v>5</v>
      </c>
      <c r="B1829" s="801" t="s">
        <v>819</v>
      </c>
      <c r="C1829" s="463" t="s">
        <v>820</v>
      </c>
      <c r="D1829" s="758" t="s">
        <v>126</v>
      </c>
      <c r="E1829" s="464">
        <f t="shared" si="67"/>
        <v>8</v>
      </c>
      <c r="F1829" s="463" t="s">
        <v>2065</v>
      </c>
      <c r="G1829" s="451">
        <v>0</v>
      </c>
      <c r="H1829" s="463">
        <v>8</v>
      </c>
      <c r="I1829" s="463">
        <v>0</v>
      </c>
      <c r="J1829" s="446"/>
    </row>
    <row r="1830" spans="1:10" ht="105">
      <c r="A1830" s="463">
        <v>6</v>
      </c>
      <c r="B1830" s="801" t="s">
        <v>821</v>
      </c>
      <c r="C1830" s="463" t="s">
        <v>822</v>
      </c>
      <c r="D1830" s="758" t="s">
        <v>126</v>
      </c>
      <c r="E1830" s="464">
        <f t="shared" si="67"/>
        <v>3</v>
      </c>
      <c r="F1830" s="463" t="s">
        <v>2066</v>
      </c>
      <c r="G1830" s="451">
        <v>0</v>
      </c>
      <c r="H1830" s="463">
        <v>3</v>
      </c>
      <c r="I1830" s="463">
        <v>0</v>
      </c>
      <c r="J1830" s="759"/>
    </row>
    <row r="1831" spans="1:10" ht="75">
      <c r="A1831" s="463">
        <v>7</v>
      </c>
      <c r="B1831" s="802" t="s">
        <v>823</v>
      </c>
      <c r="C1831" s="463" t="s">
        <v>824</v>
      </c>
      <c r="D1831" s="451" t="s">
        <v>126</v>
      </c>
      <c r="E1831" s="464">
        <f t="shared" si="67"/>
        <v>2</v>
      </c>
      <c r="F1831" s="463" t="s">
        <v>2067</v>
      </c>
      <c r="G1831" s="451">
        <v>0</v>
      </c>
      <c r="H1831" s="463">
        <v>2</v>
      </c>
      <c r="I1831" s="463">
        <v>0</v>
      </c>
      <c r="J1831" s="759">
        <v>0</v>
      </c>
    </row>
    <row r="1832" spans="1:10" ht="208.5" customHeight="1">
      <c r="A1832" s="463">
        <v>8</v>
      </c>
      <c r="B1832" s="790" t="s">
        <v>825</v>
      </c>
      <c r="C1832" s="451" t="s">
        <v>4697</v>
      </c>
      <c r="D1832" s="451" t="s">
        <v>2068</v>
      </c>
      <c r="E1832" s="464">
        <f t="shared" si="67"/>
        <v>21</v>
      </c>
      <c r="F1832" s="463" t="s">
        <v>2069</v>
      </c>
      <c r="G1832" s="451">
        <v>0</v>
      </c>
      <c r="H1832" s="463">
        <v>21</v>
      </c>
      <c r="I1832" s="463">
        <v>0</v>
      </c>
      <c r="J1832" s="759">
        <v>0</v>
      </c>
    </row>
    <row r="1833" spans="1:10" ht="45">
      <c r="A1833" s="463">
        <v>9</v>
      </c>
      <c r="B1833" s="790" t="s">
        <v>827</v>
      </c>
      <c r="C1833" s="451" t="s">
        <v>828</v>
      </c>
      <c r="D1833" s="451" t="s">
        <v>126</v>
      </c>
      <c r="E1833" s="464">
        <f t="shared" si="67"/>
        <v>5</v>
      </c>
      <c r="F1833" s="463" t="s">
        <v>2070</v>
      </c>
      <c r="G1833" s="451">
        <v>0</v>
      </c>
      <c r="H1833" s="463">
        <v>5</v>
      </c>
      <c r="I1833" s="463">
        <v>0</v>
      </c>
      <c r="J1833" s="759">
        <v>0</v>
      </c>
    </row>
    <row r="1834" spans="1:10" ht="45">
      <c r="A1834" s="463">
        <v>10</v>
      </c>
      <c r="B1834" s="790" t="s">
        <v>829</v>
      </c>
      <c r="C1834" s="451" t="s">
        <v>828</v>
      </c>
      <c r="D1834" s="451" t="s">
        <v>126</v>
      </c>
      <c r="E1834" s="464">
        <f t="shared" si="67"/>
        <v>5</v>
      </c>
      <c r="F1834" s="463" t="s">
        <v>2070</v>
      </c>
      <c r="G1834" s="451">
        <v>0</v>
      </c>
      <c r="H1834" s="463">
        <v>5</v>
      </c>
      <c r="I1834" s="463">
        <v>0</v>
      </c>
      <c r="J1834" s="759">
        <v>0</v>
      </c>
    </row>
    <row r="1835" spans="1:10" ht="45">
      <c r="A1835" s="463">
        <v>11</v>
      </c>
      <c r="B1835" s="790" t="s">
        <v>830</v>
      </c>
      <c r="C1835" s="451" t="s">
        <v>831</v>
      </c>
      <c r="D1835" s="451" t="s">
        <v>126</v>
      </c>
      <c r="E1835" s="464">
        <f t="shared" si="67"/>
        <v>5</v>
      </c>
      <c r="F1835" s="463" t="s">
        <v>2070</v>
      </c>
      <c r="G1835" s="451">
        <v>0</v>
      </c>
      <c r="H1835" s="463">
        <v>5</v>
      </c>
      <c r="I1835" s="463">
        <v>0</v>
      </c>
      <c r="J1835" s="759">
        <v>0</v>
      </c>
    </row>
    <row r="1836" spans="1:10" ht="45">
      <c r="A1836" s="463">
        <v>12</v>
      </c>
      <c r="B1836" s="790" t="s">
        <v>832</v>
      </c>
      <c r="C1836" s="451" t="s">
        <v>831</v>
      </c>
      <c r="D1836" s="451" t="s">
        <v>126</v>
      </c>
      <c r="E1836" s="464">
        <f t="shared" si="67"/>
        <v>5</v>
      </c>
      <c r="F1836" s="463" t="s">
        <v>2070</v>
      </c>
      <c r="G1836" s="451">
        <v>0</v>
      </c>
      <c r="H1836" s="463">
        <v>5</v>
      </c>
      <c r="I1836" s="463">
        <v>0</v>
      </c>
      <c r="J1836" s="759">
        <v>0</v>
      </c>
    </row>
    <row r="1837" spans="1:10" ht="30">
      <c r="A1837" s="463">
        <v>13</v>
      </c>
      <c r="B1837" s="790" t="s">
        <v>833</v>
      </c>
      <c r="C1837" s="451" t="s">
        <v>834</v>
      </c>
      <c r="D1837" s="451" t="s">
        <v>835</v>
      </c>
      <c r="E1837" s="464">
        <f t="shared" si="67"/>
        <v>5</v>
      </c>
      <c r="F1837" s="463" t="s">
        <v>837</v>
      </c>
      <c r="G1837" s="451">
        <v>0</v>
      </c>
      <c r="H1837" s="463">
        <v>5</v>
      </c>
      <c r="I1837" s="463">
        <v>0</v>
      </c>
      <c r="J1837" s="759">
        <v>0</v>
      </c>
    </row>
    <row r="1838" spans="1:10" ht="26.25">
      <c r="A1838" s="1029" t="s">
        <v>4577</v>
      </c>
      <c r="B1838" s="1029"/>
      <c r="C1838" s="1029"/>
      <c r="D1838" s="1029"/>
      <c r="E1838" s="1029"/>
      <c r="F1838" s="1029"/>
      <c r="G1838" s="1029"/>
      <c r="H1838" s="1029"/>
      <c r="I1838" s="1029"/>
      <c r="J1838" s="1029"/>
    </row>
    <row r="1839" spans="1:10">
      <c r="A1839" s="1040" t="s">
        <v>4578</v>
      </c>
      <c r="B1839" s="1041"/>
      <c r="C1839" s="1041"/>
      <c r="D1839" s="1041"/>
      <c r="E1839" s="1041"/>
      <c r="F1839" s="1041"/>
      <c r="G1839" s="1041"/>
      <c r="H1839" s="1041"/>
      <c r="I1839" s="1041"/>
      <c r="J1839" s="1042"/>
    </row>
    <row r="1840" spans="1:10" ht="15.75">
      <c r="A1840" s="760">
        <v>1</v>
      </c>
      <c r="B1840" s="765" t="s">
        <v>647</v>
      </c>
      <c r="C1840" s="453" t="s">
        <v>648</v>
      </c>
      <c r="D1840" s="453" t="s">
        <v>693</v>
      </c>
      <c r="E1840" s="453">
        <v>50</v>
      </c>
      <c r="F1840" s="453"/>
      <c r="G1840" s="453"/>
      <c r="H1840" s="453">
        <v>20</v>
      </c>
      <c r="I1840" s="453">
        <v>15</v>
      </c>
      <c r="J1840" s="453">
        <v>15</v>
      </c>
    </row>
    <row r="1841" spans="1:10" ht="15.75">
      <c r="A1841" s="760">
        <v>2</v>
      </c>
      <c r="B1841" s="765" t="s">
        <v>649</v>
      </c>
      <c r="C1841" s="453" t="s">
        <v>4579</v>
      </c>
      <c r="D1841" s="453" t="s">
        <v>693</v>
      </c>
      <c r="E1841" s="453">
        <v>5</v>
      </c>
      <c r="F1841" s="453"/>
      <c r="G1841" s="453"/>
      <c r="H1841" s="453">
        <v>2</v>
      </c>
      <c r="I1841" s="453">
        <v>2</v>
      </c>
      <c r="J1841" s="453">
        <v>1</v>
      </c>
    </row>
    <row r="1842" spans="1:10" ht="15.75">
      <c r="A1842" s="760">
        <v>3</v>
      </c>
      <c r="B1842" s="765" t="s">
        <v>4580</v>
      </c>
      <c r="C1842" s="453" t="s">
        <v>657</v>
      </c>
      <c r="D1842" s="453" t="s">
        <v>286</v>
      </c>
      <c r="E1842" s="453">
        <v>20</v>
      </c>
      <c r="F1842" s="453"/>
      <c r="G1842" s="453"/>
      <c r="H1842" s="453">
        <v>10</v>
      </c>
      <c r="I1842" s="453">
        <v>10</v>
      </c>
      <c r="J1842" s="453"/>
    </row>
    <row r="1843" spans="1:10" ht="15.75">
      <c r="A1843" s="760">
        <v>4</v>
      </c>
      <c r="B1843" s="765" t="s">
        <v>3209</v>
      </c>
      <c r="C1843" s="453" t="s">
        <v>659</v>
      </c>
      <c r="D1843" s="453" t="s">
        <v>286</v>
      </c>
      <c r="E1843" s="453">
        <v>20</v>
      </c>
      <c r="F1843" s="453"/>
      <c r="G1843" s="453"/>
      <c r="H1843" s="453">
        <v>10</v>
      </c>
      <c r="I1843" s="453">
        <v>10</v>
      </c>
      <c r="J1843" s="453"/>
    </row>
    <row r="1844" spans="1:10" ht="15.75">
      <c r="A1844" s="760">
        <v>5</v>
      </c>
      <c r="B1844" s="765" t="s">
        <v>4368</v>
      </c>
      <c r="C1844" s="453"/>
      <c r="D1844" s="453" t="s">
        <v>286</v>
      </c>
      <c r="E1844" s="453">
        <v>62</v>
      </c>
      <c r="F1844" s="453"/>
      <c r="G1844" s="453"/>
      <c r="H1844" s="453">
        <v>22</v>
      </c>
      <c r="I1844" s="453">
        <v>20</v>
      </c>
      <c r="J1844" s="453">
        <v>20</v>
      </c>
    </row>
    <row r="1845" spans="1:10" ht="15.75">
      <c r="A1845" s="760">
        <v>6</v>
      </c>
      <c r="B1845" s="765" t="s">
        <v>662</v>
      </c>
      <c r="C1845" s="453" t="s">
        <v>4581</v>
      </c>
      <c r="D1845" s="453" t="s">
        <v>286</v>
      </c>
      <c r="E1845" s="453">
        <v>50</v>
      </c>
      <c r="F1845" s="453"/>
      <c r="G1845" s="453"/>
      <c r="H1845" s="453">
        <v>20</v>
      </c>
      <c r="I1845" s="453">
        <v>20</v>
      </c>
      <c r="J1845" s="453">
        <v>10</v>
      </c>
    </row>
    <row r="1846" spans="1:10" ht="15.75">
      <c r="A1846" s="760">
        <v>7</v>
      </c>
      <c r="B1846" s="765" t="s">
        <v>3081</v>
      </c>
      <c r="C1846" s="453" t="s">
        <v>4582</v>
      </c>
      <c r="D1846" s="453" t="s">
        <v>693</v>
      </c>
      <c r="E1846" s="453">
        <v>400</v>
      </c>
      <c r="F1846" s="453"/>
      <c r="G1846" s="453"/>
      <c r="H1846" s="453">
        <v>200</v>
      </c>
      <c r="I1846" s="453">
        <v>100</v>
      </c>
      <c r="J1846" s="453">
        <v>100</v>
      </c>
    </row>
    <row r="1847" spans="1:10" ht="31.5">
      <c r="A1847" s="760">
        <v>8</v>
      </c>
      <c r="B1847" s="765" t="s">
        <v>675</v>
      </c>
      <c r="C1847" s="453" t="s">
        <v>4688</v>
      </c>
      <c r="D1847" s="453" t="s">
        <v>286</v>
      </c>
      <c r="E1847" s="453">
        <v>10</v>
      </c>
      <c r="F1847" s="453"/>
      <c r="G1847" s="453"/>
      <c r="H1847" s="453">
        <v>5</v>
      </c>
      <c r="I1847" s="453">
        <v>5</v>
      </c>
      <c r="J1847" s="453"/>
    </row>
    <row r="1848" spans="1:10" ht="15.75">
      <c r="A1848" s="760">
        <v>9</v>
      </c>
      <c r="B1848" s="765" t="s">
        <v>4583</v>
      </c>
      <c r="C1848" s="453"/>
      <c r="D1848" s="453" t="s">
        <v>286</v>
      </c>
      <c r="E1848" s="453">
        <v>10</v>
      </c>
      <c r="F1848" s="453"/>
      <c r="G1848" s="453"/>
      <c r="H1848" s="453">
        <v>5</v>
      </c>
      <c r="I1848" s="453">
        <v>5</v>
      </c>
      <c r="J1848" s="453"/>
    </row>
    <row r="1849" spans="1:10" ht="15.75">
      <c r="A1849" s="760">
        <v>10</v>
      </c>
      <c r="B1849" s="765" t="s">
        <v>3144</v>
      </c>
      <c r="C1849" s="453" t="s">
        <v>4584</v>
      </c>
      <c r="D1849" s="453" t="s">
        <v>286</v>
      </c>
      <c r="E1849" s="453">
        <v>13</v>
      </c>
      <c r="F1849" s="453"/>
      <c r="G1849" s="453"/>
      <c r="H1849" s="453">
        <v>8</v>
      </c>
      <c r="I1849" s="453">
        <v>5</v>
      </c>
      <c r="J1849" s="453"/>
    </row>
    <row r="1850" spans="1:10" ht="15.75">
      <c r="A1850" s="760">
        <v>11</v>
      </c>
      <c r="B1850" s="765" t="s">
        <v>687</v>
      </c>
      <c r="C1850" s="453" t="s">
        <v>688</v>
      </c>
      <c r="D1850" s="453" t="s">
        <v>286</v>
      </c>
      <c r="E1850" s="453">
        <v>7</v>
      </c>
      <c r="F1850" s="453"/>
      <c r="G1850" s="453"/>
      <c r="H1850" s="453">
        <v>4</v>
      </c>
      <c r="I1850" s="453">
        <v>3</v>
      </c>
      <c r="J1850" s="453"/>
    </row>
    <row r="1851" spans="1:10" ht="31.5">
      <c r="A1851" s="760">
        <v>12</v>
      </c>
      <c r="B1851" s="765" t="s">
        <v>4585</v>
      </c>
      <c r="C1851" s="453" t="s">
        <v>4586</v>
      </c>
      <c r="D1851" s="453" t="s">
        <v>286</v>
      </c>
      <c r="E1851" s="453">
        <v>1</v>
      </c>
      <c r="F1851" s="453"/>
      <c r="G1851" s="453"/>
      <c r="H1851" s="453">
        <v>1</v>
      </c>
      <c r="I1851" s="453"/>
      <c r="J1851" s="453"/>
    </row>
    <row r="1852" spans="1:10" ht="15.75">
      <c r="A1852" s="760">
        <v>13</v>
      </c>
      <c r="B1852" s="765" t="s">
        <v>4587</v>
      </c>
      <c r="C1852" s="453" t="s">
        <v>4588</v>
      </c>
      <c r="D1852" s="453" t="s">
        <v>127</v>
      </c>
      <c r="E1852" s="453">
        <v>130</v>
      </c>
      <c r="F1852" s="453"/>
      <c r="G1852" s="453"/>
      <c r="H1852" s="453">
        <v>60</v>
      </c>
      <c r="I1852" s="453">
        <v>70</v>
      </c>
      <c r="J1852" s="453"/>
    </row>
    <row r="1853" spans="1:10" ht="15.75">
      <c r="A1853" s="760">
        <v>14</v>
      </c>
      <c r="B1853" s="765" t="s">
        <v>4589</v>
      </c>
      <c r="C1853" s="453" t="s">
        <v>630</v>
      </c>
      <c r="D1853" s="453" t="s">
        <v>286</v>
      </c>
      <c r="E1853" s="453">
        <v>10</v>
      </c>
      <c r="F1853" s="453"/>
      <c r="G1853" s="453"/>
      <c r="H1853" s="453">
        <v>5</v>
      </c>
      <c r="I1853" s="453">
        <v>5</v>
      </c>
      <c r="J1853" s="453"/>
    </row>
    <row r="1854" spans="1:10" ht="15.75">
      <c r="A1854" s="760">
        <v>15</v>
      </c>
      <c r="B1854" s="765" t="s">
        <v>4589</v>
      </c>
      <c r="C1854" s="453" t="s">
        <v>631</v>
      </c>
      <c r="D1854" s="453" t="s">
        <v>286</v>
      </c>
      <c r="E1854" s="453">
        <v>10</v>
      </c>
      <c r="F1854" s="453"/>
      <c r="G1854" s="453"/>
      <c r="H1854" s="453">
        <v>5</v>
      </c>
      <c r="I1854" s="453">
        <v>5</v>
      </c>
      <c r="J1854" s="453"/>
    </row>
    <row r="1855" spans="1:10" ht="15.75">
      <c r="A1855" s="760">
        <v>16</v>
      </c>
      <c r="B1855" s="765" t="s">
        <v>4589</v>
      </c>
      <c r="C1855" s="453" t="s">
        <v>632</v>
      </c>
      <c r="D1855" s="453" t="s">
        <v>286</v>
      </c>
      <c r="E1855" s="453">
        <v>10</v>
      </c>
      <c r="F1855" s="453"/>
      <c r="G1855" s="453"/>
      <c r="H1855" s="453">
        <v>5</v>
      </c>
      <c r="I1855" s="453">
        <v>5</v>
      </c>
      <c r="J1855" s="453"/>
    </row>
    <row r="1856" spans="1:10" ht="15.75">
      <c r="A1856" s="760">
        <v>17</v>
      </c>
      <c r="B1856" s="765" t="s">
        <v>4589</v>
      </c>
      <c r="C1856" s="453" t="s">
        <v>633</v>
      </c>
      <c r="D1856" s="453" t="s">
        <v>286</v>
      </c>
      <c r="E1856" s="453">
        <v>10</v>
      </c>
      <c r="F1856" s="453"/>
      <c r="G1856" s="453"/>
      <c r="H1856" s="453">
        <v>5</v>
      </c>
      <c r="I1856" s="453">
        <v>5</v>
      </c>
      <c r="J1856" s="453"/>
    </row>
    <row r="1857" spans="1:10" ht="15.75">
      <c r="A1857" s="760">
        <v>18</v>
      </c>
      <c r="B1857" s="765" t="s">
        <v>4589</v>
      </c>
      <c r="C1857" s="453" t="s">
        <v>634</v>
      </c>
      <c r="D1857" s="453" t="s">
        <v>286</v>
      </c>
      <c r="E1857" s="453">
        <v>200</v>
      </c>
      <c r="F1857" s="453"/>
      <c r="G1857" s="453"/>
      <c r="H1857" s="453">
        <v>100</v>
      </c>
      <c r="I1857" s="453">
        <v>100</v>
      </c>
      <c r="J1857" s="453"/>
    </row>
    <row r="1858" spans="1:10" ht="15.75">
      <c r="A1858" s="760">
        <v>19</v>
      </c>
      <c r="B1858" s="765" t="s">
        <v>4589</v>
      </c>
      <c r="C1858" s="453" t="s">
        <v>4590</v>
      </c>
      <c r="D1858" s="453" t="s">
        <v>286</v>
      </c>
      <c r="E1858" s="453">
        <v>225</v>
      </c>
      <c r="F1858" s="453"/>
      <c r="G1858" s="453"/>
      <c r="H1858" s="453">
        <v>125</v>
      </c>
      <c r="I1858" s="453">
        <v>100</v>
      </c>
      <c r="J1858" s="453"/>
    </row>
    <row r="1859" spans="1:10" ht="15.75">
      <c r="A1859" s="760">
        <v>20</v>
      </c>
      <c r="B1859" s="765" t="s">
        <v>4591</v>
      </c>
      <c r="C1859" s="453" t="s">
        <v>4592</v>
      </c>
      <c r="D1859" s="453" t="s">
        <v>286</v>
      </c>
      <c r="E1859" s="453">
        <v>60</v>
      </c>
      <c r="F1859" s="453"/>
      <c r="G1859" s="453"/>
      <c r="H1859" s="453">
        <v>30</v>
      </c>
      <c r="I1859" s="453">
        <v>30</v>
      </c>
      <c r="J1859" s="453"/>
    </row>
    <row r="1860" spans="1:10" ht="15.75">
      <c r="A1860" s="760">
        <v>21</v>
      </c>
      <c r="B1860" s="765" t="s">
        <v>4591</v>
      </c>
      <c r="C1860" s="453" t="s">
        <v>4593</v>
      </c>
      <c r="D1860" s="453" t="s">
        <v>286</v>
      </c>
      <c r="E1860" s="453">
        <v>10</v>
      </c>
      <c r="F1860" s="453"/>
      <c r="G1860" s="453"/>
      <c r="H1860" s="453">
        <v>5</v>
      </c>
      <c r="I1860" s="453">
        <v>5</v>
      </c>
      <c r="J1860" s="453"/>
    </row>
    <row r="1861" spans="1:10" ht="15.75">
      <c r="A1861" s="760">
        <v>22</v>
      </c>
      <c r="B1861" s="765" t="s">
        <v>4591</v>
      </c>
      <c r="C1861" s="453" t="s">
        <v>4593</v>
      </c>
      <c r="D1861" s="453" t="s">
        <v>286</v>
      </c>
      <c r="E1861" s="453">
        <v>200</v>
      </c>
      <c r="F1861" s="453"/>
      <c r="G1861" s="453"/>
      <c r="H1861" s="453">
        <v>100</v>
      </c>
      <c r="I1861" s="453">
        <v>50</v>
      </c>
      <c r="J1861" s="453">
        <v>50</v>
      </c>
    </row>
    <row r="1862" spans="1:10" ht="15.75">
      <c r="A1862" s="760">
        <v>23</v>
      </c>
      <c r="B1862" s="765" t="s">
        <v>640</v>
      </c>
      <c r="C1862" s="453" t="s">
        <v>641</v>
      </c>
      <c r="D1862" s="453" t="s">
        <v>286</v>
      </c>
      <c r="E1862" s="453">
        <v>50</v>
      </c>
      <c r="F1862" s="453"/>
      <c r="G1862" s="453"/>
      <c r="H1862" s="453">
        <v>20</v>
      </c>
      <c r="I1862" s="453">
        <v>20</v>
      </c>
      <c r="J1862" s="453">
        <v>10</v>
      </c>
    </row>
    <row r="1863" spans="1:10" ht="15.75">
      <c r="A1863" s="760">
        <v>24</v>
      </c>
      <c r="B1863" s="765" t="s">
        <v>644</v>
      </c>
      <c r="C1863" s="453" t="s">
        <v>645</v>
      </c>
      <c r="D1863" s="453" t="s">
        <v>693</v>
      </c>
      <c r="E1863" s="453">
        <v>5</v>
      </c>
      <c r="F1863" s="453"/>
      <c r="G1863" s="453"/>
      <c r="H1863" s="453">
        <v>2</v>
      </c>
      <c r="I1863" s="453">
        <v>3</v>
      </c>
      <c r="J1863" s="453"/>
    </row>
    <row r="1864" spans="1:10" ht="15.75">
      <c r="A1864" s="760">
        <v>25</v>
      </c>
      <c r="B1864" s="765" t="s">
        <v>646</v>
      </c>
      <c r="C1864" s="453"/>
      <c r="D1864" s="453" t="s">
        <v>286</v>
      </c>
      <c r="E1864" s="453">
        <v>300</v>
      </c>
      <c r="F1864" s="453"/>
      <c r="G1864" s="453"/>
      <c r="H1864" s="453">
        <v>100</v>
      </c>
      <c r="I1864" s="453">
        <v>100</v>
      </c>
      <c r="J1864" s="453">
        <v>100</v>
      </c>
    </row>
    <row r="1865" spans="1:10" ht="15.75">
      <c r="A1865" s="760">
        <v>26</v>
      </c>
      <c r="B1865" s="765" t="s">
        <v>4304</v>
      </c>
      <c r="C1865" s="453" t="s">
        <v>4594</v>
      </c>
      <c r="D1865" s="453" t="s">
        <v>693</v>
      </c>
      <c r="E1865" s="453">
        <v>10</v>
      </c>
      <c r="F1865" s="453"/>
      <c r="G1865" s="453"/>
      <c r="H1865" s="453">
        <v>6</v>
      </c>
      <c r="I1865" s="453">
        <v>2</v>
      </c>
      <c r="J1865" s="453">
        <v>2</v>
      </c>
    </row>
    <row r="1866" spans="1:10" ht="15.75">
      <c r="A1866" s="760">
        <v>27</v>
      </c>
      <c r="B1866" s="765" t="s">
        <v>624</v>
      </c>
      <c r="C1866" s="453" t="s">
        <v>625</v>
      </c>
      <c r="D1866" s="453" t="s">
        <v>286</v>
      </c>
      <c r="E1866" s="453">
        <v>1</v>
      </c>
      <c r="F1866" s="453"/>
      <c r="G1866" s="453"/>
      <c r="H1866" s="453">
        <v>1</v>
      </c>
      <c r="I1866" s="453"/>
      <c r="J1866" s="453"/>
    </row>
    <row r="1867" spans="1:10" ht="15.75">
      <c r="A1867" s="760">
        <v>28</v>
      </c>
      <c r="B1867" s="765" t="s">
        <v>4595</v>
      </c>
      <c r="C1867" s="453" t="s">
        <v>4596</v>
      </c>
      <c r="D1867" s="453" t="s">
        <v>286</v>
      </c>
      <c r="E1867" s="453">
        <v>2</v>
      </c>
      <c r="F1867" s="453"/>
      <c r="G1867" s="453"/>
      <c r="H1867" s="453">
        <v>2</v>
      </c>
      <c r="I1867" s="453"/>
      <c r="J1867" s="453"/>
    </row>
    <row r="1868" spans="1:10" ht="15.75">
      <c r="A1868" s="760">
        <v>29</v>
      </c>
      <c r="B1868" s="765" t="s">
        <v>4597</v>
      </c>
      <c r="C1868" s="453" t="s">
        <v>4598</v>
      </c>
      <c r="D1868" s="453" t="s">
        <v>286</v>
      </c>
      <c r="E1868" s="453">
        <v>1</v>
      </c>
      <c r="F1868" s="453"/>
      <c r="G1868" s="453"/>
      <c r="H1868" s="453">
        <v>1</v>
      </c>
      <c r="I1868" s="453"/>
      <c r="J1868" s="453"/>
    </row>
    <row r="1869" spans="1:10" ht="15.75">
      <c r="A1869" s="760">
        <v>30</v>
      </c>
      <c r="B1869" s="765" t="s">
        <v>4599</v>
      </c>
      <c r="C1869" s="453" t="s">
        <v>4600</v>
      </c>
      <c r="D1869" s="453" t="s">
        <v>518</v>
      </c>
      <c r="E1869" s="453">
        <v>1</v>
      </c>
      <c r="F1869" s="453"/>
      <c r="G1869" s="453"/>
      <c r="H1869" s="453">
        <v>1</v>
      </c>
      <c r="I1869" s="453"/>
      <c r="J1869" s="453"/>
    </row>
    <row r="1870" spans="1:10" ht="15.75">
      <c r="A1870" s="760">
        <v>31</v>
      </c>
      <c r="B1870" s="765" t="s">
        <v>4601</v>
      </c>
      <c r="C1870" s="453" t="s">
        <v>4600</v>
      </c>
      <c r="D1870" s="453" t="s">
        <v>518</v>
      </c>
      <c r="E1870" s="453">
        <v>1</v>
      </c>
      <c r="F1870" s="453"/>
      <c r="G1870" s="453"/>
      <c r="H1870" s="453">
        <v>1</v>
      </c>
      <c r="I1870" s="453"/>
      <c r="J1870" s="453"/>
    </row>
    <row r="1871" spans="1:10" ht="15.75">
      <c r="A1871" s="760">
        <v>32</v>
      </c>
      <c r="B1871" s="765" t="s">
        <v>4602</v>
      </c>
      <c r="C1871" s="453" t="s">
        <v>4600</v>
      </c>
      <c r="D1871" s="453" t="s">
        <v>518</v>
      </c>
      <c r="E1871" s="453">
        <v>1</v>
      </c>
      <c r="F1871" s="453"/>
      <c r="G1871" s="453"/>
      <c r="H1871" s="453">
        <v>1</v>
      </c>
      <c r="I1871" s="453"/>
      <c r="J1871" s="453"/>
    </row>
    <row r="1872" spans="1:10" ht="15.75">
      <c r="A1872" s="760">
        <v>33</v>
      </c>
      <c r="B1872" s="765" t="s">
        <v>4603</v>
      </c>
      <c r="C1872" s="453" t="s">
        <v>4600</v>
      </c>
      <c r="D1872" s="453" t="s">
        <v>518</v>
      </c>
      <c r="E1872" s="453">
        <v>1</v>
      </c>
      <c r="F1872" s="453"/>
      <c r="G1872" s="453"/>
      <c r="H1872" s="453">
        <v>1</v>
      </c>
      <c r="I1872" s="453"/>
      <c r="J1872" s="453"/>
    </row>
    <row r="1873" spans="1:10" ht="15.75">
      <c r="A1873" s="760">
        <v>34</v>
      </c>
      <c r="B1873" s="765" t="s">
        <v>4604</v>
      </c>
      <c r="C1873" s="453" t="s">
        <v>4600</v>
      </c>
      <c r="D1873" s="453" t="s">
        <v>518</v>
      </c>
      <c r="E1873" s="453">
        <v>1</v>
      </c>
      <c r="F1873" s="453"/>
      <c r="G1873" s="453"/>
      <c r="H1873" s="453">
        <v>1</v>
      </c>
      <c r="I1873" s="453"/>
      <c r="J1873" s="453"/>
    </row>
    <row r="1874" spans="1:10" ht="15.75">
      <c r="A1874" s="760">
        <v>35</v>
      </c>
      <c r="B1874" s="765" t="s">
        <v>4605</v>
      </c>
      <c r="C1874" s="453" t="s">
        <v>4600</v>
      </c>
      <c r="D1874" s="453" t="s">
        <v>518</v>
      </c>
      <c r="E1874" s="453">
        <v>1</v>
      </c>
      <c r="F1874" s="453"/>
      <c r="G1874" s="453"/>
      <c r="H1874" s="453">
        <v>1</v>
      </c>
      <c r="I1874" s="453"/>
      <c r="J1874" s="453"/>
    </row>
    <row r="1875" spans="1:10" ht="15.75">
      <c r="A1875" s="760">
        <v>36</v>
      </c>
      <c r="B1875" s="803" t="s">
        <v>4606</v>
      </c>
      <c r="C1875" s="78" t="s">
        <v>4607</v>
      </c>
      <c r="D1875" s="453" t="s">
        <v>693</v>
      </c>
      <c r="E1875" s="453">
        <v>10</v>
      </c>
      <c r="F1875" s="453"/>
      <c r="G1875" s="453"/>
      <c r="H1875" s="453">
        <v>5</v>
      </c>
      <c r="I1875" s="453">
        <v>5</v>
      </c>
      <c r="J1875" s="453"/>
    </row>
    <row r="1876" spans="1:10" ht="15.75">
      <c r="A1876" s="760">
        <v>37</v>
      </c>
      <c r="B1876" s="803" t="s">
        <v>4608</v>
      </c>
      <c r="C1876" s="78" t="s">
        <v>4609</v>
      </c>
      <c r="D1876" s="453" t="s">
        <v>693</v>
      </c>
      <c r="E1876" s="453">
        <v>10</v>
      </c>
      <c r="F1876" s="453"/>
      <c r="G1876" s="453"/>
      <c r="H1876" s="453">
        <v>5</v>
      </c>
      <c r="I1876" s="453">
        <v>5</v>
      </c>
      <c r="J1876" s="453"/>
    </row>
    <row r="1877" spans="1:10" ht="15.75">
      <c r="A1877" s="760">
        <v>38</v>
      </c>
      <c r="B1877" s="803" t="s">
        <v>4608</v>
      </c>
      <c r="C1877" s="78" t="s">
        <v>4610</v>
      </c>
      <c r="D1877" s="453" t="s">
        <v>693</v>
      </c>
      <c r="E1877" s="453">
        <v>2</v>
      </c>
      <c r="F1877" s="453"/>
      <c r="G1877" s="453"/>
      <c r="H1877" s="453">
        <v>1</v>
      </c>
      <c r="I1877" s="453">
        <v>1</v>
      </c>
      <c r="J1877" s="453"/>
    </row>
    <row r="1878" spans="1:10" ht="15.75">
      <c r="A1878" s="760">
        <v>39</v>
      </c>
      <c r="B1878" s="803" t="s">
        <v>4606</v>
      </c>
      <c r="C1878" s="78" t="s">
        <v>4611</v>
      </c>
      <c r="D1878" s="453" t="s">
        <v>693</v>
      </c>
      <c r="E1878" s="453">
        <v>2</v>
      </c>
      <c r="F1878" s="453"/>
      <c r="G1878" s="453"/>
      <c r="H1878" s="453">
        <v>1</v>
      </c>
      <c r="I1878" s="453">
        <v>1</v>
      </c>
      <c r="J1878" s="453"/>
    </row>
    <row r="1879" spans="1:10" ht="15.75">
      <c r="A1879" s="760">
        <v>40</v>
      </c>
      <c r="B1879" s="803" t="s">
        <v>4608</v>
      </c>
      <c r="C1879" s="78" t="s">
        <v>4612</v>
      </c>
      <c r="D1879" s="453" t="s">
        <v>693</v>
      </c>
      <c r="E1879" s="453">
        <v>10</v>
      </c>
      <c r="F1879" s="453"/>
      <c r="G1879" s="453"/>
      <c r="H1879" s="453">
        <v>5</v>
      </c>
      <c r="I1879" s="453">
        <v>5</v>
      </c>
      <c r="J1879" s="453"/>
    </row>
    <row r="1880" spans="1:10" ht="15.75">
      <c r="A1880" s="760">
        <v>41</v>
      </c>
      <c r="B1880" s="803" t="s">
        <v>4608</v>
      </c>
      <c r="C1880" s="78" t="s">
        <v>4613</v>
      </c>
      <c r="D1880" s="453" t="s">
        <v>693</v>
      </c>
      <c r="E1880" s="453">
        <v>2</v>
      </c>
      <c r="F1880" s="453"/>
      <c r="G1880" s="453"/>
      <c r="H1880" s="453">
        <v>1</v>
      </c>
      <c r="I1880" s="453">
        <v>1</v>
      </c>
      <c r="J1880" s="453"/>
    </row>
    <row r="1881" spans="1:10" ht="15.75">
      <c r="A1881" s="760">
        <v>42</v>
      </c>
      <c r="B1881" s="803" t="s">
        <v>4614</v>
      </c>
      <c r="C1881" s="78"/>
      <c r="D1881" s="453" t="s">
        <v>693</v>
      </c>
      <c r="E1881" s="453">
        <v>2</v>
      </c>
      <c r="F1881" s="453"/>
      <c r="G1881" s="453"/>
      <c r="H1881" s="453">
        <v>1</v>
      </c>
      <c r="I1881" s="453">
        <v>1</v>
      </c>
      <c r="J1881" s="453"/>
    </row>
    <row r="1882" spans="1:10" ht="15.75">
      <c r="A1882" s="760">
        <v>43</v>
      </c>
      <c r="B1882" s="803" t="s">
        <v>4615</v>
      </c>
      <c r="C1882" s="78"/>
      <c r="D1882" s="453" t="s">
        <v>693</v>
      </c>
      <c r="E1882" s="453">
        <v>2</v>
      </c>
      <c r="F1882" s="453"/>
      <c r="G1882" s="453"/>
      <c r="H1882" s="453">
        <v>1</v>
      </c>
      <c r="I1882" s="453">
        <v>1</v>
      </c>
      <c r="J1882" s="453"/>
    </row>
    <row r="1883" spans="1:10" ht="15.75">
      <c r="A1883" s="760">
        <v>44</v>
      </c>
      <c r="B1883" s="803" t="s">
        <v>4616</v>
      </c>
      <c r="C1883" s="78" t="s">
        <v>4617</v>
      </c>
      <c r="D1883" s="453" t="s">
        <v>464</v>
      </c>
      <c r="E1883" s="453">
        <v>10</v>
      </c>
      <c r="F1883" s="453"/>
      <c r="G1883" s="453"/>
      <c r="H1883" s="453">
        <v>3</v>
      </c>
      <c r="I1883" s="453">
        <v>4</v>
      </c>
      <c r="J1883" s="453">
        <v>3</v>
      </c>
    </row>
    <row r="1884" spans="1:10" ht="15.75">
      <c r="A1884" s="760">
        <v>45</v>
      </c>
      <c r="B1884" s="765" t="s">
        <v>3099</v>
      </c>
      <c r="C1884" s="453"/>
      <c r="D1884" s="453" t="s">
        <v>693</v>
      </c>
      <c r="E1884" s="453">
        <v>100</v>
      </c>
      <c r="F1884" s="453"/>
      <c r="G1884" s="453"/>
      <c r="H1884" s="453">
        <v>40</v>
      </c>
      <c r="I1884" s="453">
        <v>30</v>
      </c>
      <c r="J1884" s="453">
        <v>30</v>
      </c>
    </row>
    <row r="1885" spans="1:10" ht="15.75">
      <c r="A1885" s="760">
        <v>46</v>
      </c>
      <c r="B1885" s="765" t="s">
        <v>4618</v>
      </c>
      <c r="C1885" s="453" t="s">
        <v>4619</v>
      </c>
      <c r="D1885" s="453" t="s">
        <v>693</v>
      </c>
      <c r="E1885" s="453">
        <v>73</v>
      </c>
      <c r="F1885" s="453"/>
      <c r="G1885" s="453"/>
      <c r="H1885" s="453">
        <v>40</v>
      </c>
      <c r="I1885" s="453">
        <v>33</v>
      </c>
      <c r="J1885" s="453"/>
    </row>
    <row r="1886" spans="1:10" ht="15.75">
      <c r="A1886" s="760">
        <v>47</v>
      </c>
      <c r="B1886" s="765" t="s">
        <v>3197</v>
      </c>
      <c r="C1886" s="453" t="s">
        <v>4619</v>
      </c>
      <c r="D1886" s="453" t="s">
        <v>693</v>
      </c>
      <c r="E1886" s="453">
        <v>40</v>
      </c>
      <c r="F1886" s="453"/>
      <c r="G1886" s="453"/>
      <c r="H1886" s="453">
        <v>20</v>
      </c>
      <c r="I1886" s="453">
        <v>10</v>
      </c>
      <c r="J1886" s="453">
        <v>10</v>
      </c>
    </row>
    <row r="1887" spans="1:10" ht="15.75">
      <c r="A1887" s="760">
        <v>48</v>
      </c>
      <c r="B1887" s="765" t="s">
        <v>4620</v>
      </c>
      <c r="C1887" s="453" t="s">
        <v>4621</v>
      </c>
      <c r="D1887" s="453" t="s">
        <v>286</v>
      </c>
      <c r="E1887" s="453">
        <v>60</v>
      </c>
      <c r="F1887" s="453"/>
      <c r="G1887" s="453"/>
      <c r="H1887" s="453">
        <v>20</v>
      </c>
      <c r="I1887" s="453">
        <v>20</v>
      </c>
      <c r="J1887" s="453">
        <v>20</v>
      </c>
    </row>
    <row r="1888" spans="1:10" ht="15.75">
      <c r="A1888" s="760">
        <v>49</v>
      </c>
      <c r="B1888" s="803" t="s">
        <v>4608</v>
      </c>
      <c r="C1888" s="78" t="s">
        <v>4622</v>
      </c>
      <c r="D1888" s="453" t="s">
        <v>693</v>
      </c>
      <c r="E1888" s="453">
        <v>1</v>
      </c>
      <c r="F1888" s="453"/>
      <c r="G1888" s="453"/>
      <c r="H1888" s="453">
        <v>1</v>
      </c>
      <c r="I1888" s="453"/>
      <c r="J1888" s="453"/>
    </row>
    <row r="1889" spans="1:10" ht="15.75">
      <c r="A1889" s="760">
        <v>50</v>
      </c>
      <c r="B1889" s="765" t="s">
        <v>4623</v>
      </c>
      <c r="C1889" s="453" t="s">
        <v>4624</v>
      </c>
      <c r="D1889" s="453" t="s">
        <v>693</v>
      </c>
      <c r="E1889" s="453">
        <v>4</v>
      </c>
      <c r="F1889" s="453"/>
      <c r="G1889" s="453"/>
      <c r="H1889" s="453">
        <v>2</v>
      </c>
      <c r="I1889" s="453">
        <v>2</v>
      </c>
      <c r="J1889" s="453"/>
    </row>
    <row r="1890" spans="1:10" ht="15.75">
      <c r="A1890" s="760">
        <v>51</v>
      </c>
      <c r="B1890" s="765" t="s">
        <v>4625</v>
      </c>
      <c r="C1890" s="453" t="s">
        <v>4626</v>
      </c>
      <c r="D1890" s="453" t="s">
        <v>286</v>
      </c>
      <c r="E1890" s="453">
        <v>60</v>
      </c>
      <c r="F1890" s="453"/>
      <c r="G1890" s="453"/>
      <c r="H1890" s="453">
        <v>20</v>
      </c>
      <c r="I1890" s="453">
        <v>20</v>
      </c>
      <c r="J1890" s="453">
        <v>20</v>
      </c>
    </row>
    <row r="1891" spans="1:10" ht="15.75">
      <c r="A1891" s="760">
        <v>52</v>
      </c>
      <c r="B1891" s="765" t="s">
        <v>4627</v>
      </c>
      <c r="C1891" s="453"/>
      <c r="D1891" s="453" t="s">
        <v>693</v>
      </c>
      <c r="E1891" s="453">
        <v>10</v>
      </c>
      <c r="F1891" s="453"/>
      <c r="G1891" s="453"/>
      <c r="H1891" s="453">
        <v>5</v>
      </c>
      <c r="I1891" s="453">
        <v>5</v>
      </c>
      <c r="J1891" s="453"/>
    </row>
    <row r="1892" spans="1:10" ht="31.5">
      <c r="A1892" s="760">
        <v>53</v>
      </c>
      <c r="B1892" s="765" t="s">
        <v>4628</v>
      </c>
      <c r="C1892" s="453"/>
      <c r="D1892" s="453" t="s">
        <v>693</v>
      </c>
      <c r="E1892" s="453">
        <v>100</v>
      </c>
      <c r="F1892" s="453"/>
      <c r="G1892" s="453"/>
      <c r="H1892" s="453">
        <v>40</v>
      </c>
      <c r="I1892" s="453">
        <v>30</v>
      </c>
      <c r="J1892" s="453">
        <v>30</v>
      </c>
    </row>
    <row r="1893" spans="1:10" ht="15.75">
      <c r="A1893" s="760">
        <v>54</v>
      </c>
      <c r="B1893" s="765" t="s">
        <v>4326</v>
      </c>
      <c r="C1893" s="453"/>
      <c r="D1893" s="453" t="s">
        <v>286</v>
      </c>
      <c r="E1893" s="453">
        <v>10</v>
      </c>
      <c r="F1893" s="453"/>
      <c r="G1893" s="453"/>
      <c r="H1893" s="453">
        <v>5</v>
      </c>
      <c r="I1893" s="453">
        <v>5</v>
      </c>
      <c r="J1893" s="453"/>
    </row>
    <row r="1894" spans="1:10" ht="15.75">
      <c r="A1894" s="760">
        <v>55</v>
      </c>
      <c r="B1894" s="765" t="s">
        <v>4328</v>
      </c>
      <c r="C1894" s="453"/>
      <c r="D1894" s="453" t="s">
        <v>286</v>
      </c>
      <c r="E1894" s="453">
        <v>100</v>
      </c>
      <c r="F1894" s="453"/>
      <c r="G1894" s="453"/>
      <c r="H1894" s="453">
        <v>40</v>
      </c>
      <c r="I1894" s="453">
        <v>30</v>
      </c>
      <c r="J1894" s="453">
        <v>30</v>
      </c>
    </row>
    <row r="1895" spans="1:10" ht="15.75">
      <c r="A1895" s="760">
        <v>56</v>
      </c>
      <c r="B1895" s="765" t="s">
        <v>713</v>
      </c>
      <c r="C1895" s="453" t="s">
        <v>4689</v>
      </c>
      <c r="D1895" s="453" t="s">
        <v>286</v>
      </c>
      <c r="E1895" s="453">
        <v>30</v>
      </c>
      <c r="F1895" s="453"/>
      <c r="G1895" s="453"/>
      <c r="H1895" s="453">
        <v>10</v>
      </c>
      <c r="I1895" s="453">
        <v>10</v>
      </c>
      <c r="J1895" s="453">
        <v>10</v>
      </c>
    </row>
    <row r="1896" spans="1:10" ht="15.75">
      <c r="A1896" s="760">
        <v>57</v>
      </c>
      <c r="B1896" s="765" t="s">
        <v>4629</v>
      </c>
      <c r="C1896" s="453" t="s">
        <v>4630</v>
      </c>
      <c r="D1896" s="453" t="s">
        <v>286</v>
      </c>
      <c r="E1896" s="453">
        <v>30</v>
      </c>
      <c r="F1896" s="453"/>
      <c r="G1896" s="453"/>
      <c r="H1896" s="453">
        <v>10</v>
      </c>
      <c r="I1896" s="453">
        <v>10</v>
      </c>
      <c r="J1896" s="453">
        <v>10</v>
      </c>
    </row>
    <row r="1897" spans="1:10" ht="15.75">
      <c r="A1897" s="760">
        <v>58</v>
      </c>
      <c r="B1897" s="765" t="s">
        <v>4631</v>
      </c>
      <c r="C1897" s="453" t="s">
        <v>4632</v>
      </c>
      <c r="D1897" s="453" t="s">
        <v>693</v>
      </c>
      <c r="E1897" s="453">
        <v>40</v>
      </c>
      <c r="F1897" s="453"/>
      <c r="G1897" s="453"/>
      <c r="H1897" s="453">
        <v>20</v>
      </c>
      <c r="I1897" s="453">
        <v>10</v>
      </c>
      <c r="J1897" s="453">
        <v>10</v>
      </c>
    </row>
    <row r="1898" spans="1:10" ht="15.75">
      <c r="A1898" s="760">
        <v>59</v>
      </c>
      <c r="B1898" s="765" t="s">
        <v>4633</v>
      </c>
      <c r="C1898" s="453" t="s">
        <v>4634</v>
      </c>
      <c r="D1898" s="453" t="s">
        <v>693</v>
      </c>
      <c r="E1898" s="453">
        <v>10</v>
      </c>
      <c r="F1898" s="453"/>
      <c r="G1898" s="453"/>
      <c r="H1898" s="453">
        <v>5</v>
      </c>
      <c r="I1898" s="453">
        <v>5</v>
      </c>
      <c r="J1898" s="453"/>
    </row>
    <row r="1899" spans="1:10" ht="15.75">
      <c r="A1899" s="760">
        <v>60</v>
      </c>
      <c r="B1899" s="765" t="s">
        <v>4635</v>
      </c>
      <c r="C1899" s="453" t="s">
        <v>4636</v>
      </c>
      <c r="D1899" s="453" t="s">
        <v>286</v>
      </c>
      <c r="E1899" s="453">
        <v>15</v>
      </c>
      <c r="F1899" s="453"/>
      <c r="G1899" s="453"/>
      <c r="H1899" s="453">
        <v>5</v>
      </c>
      <c r="I1899" s="453">
        <v>5</v>
      </c>
      <c r="J1899" s="453">
        <v>5</v>
      </c>
    </row>
    <row r="1900" spans="1:10" ht="15.75">
      <c r="A1900" s="760">
        <v>61</v>
      </c>
      <c r="B1900" s="765" t="s">
        <v>4637</v>
      </c>
      <c r="C1900" s="453" t="s">
        <v>4638</v>
      </c>
      <c r="D1900" s="453" t="s">
        <v>693</v>
      </c>
      <c r="E1900" s="453">
        <v>5</v>
      </c>
      <c r="F1900" s="453"/>
      <c r="G1900" s="453"/>
      <c r="H1900" s="453">
        <v>3</v>
      </c>
      <c r="I1900" s="453">
        <v>1</v>
      </c>
      <c r="J1900" s="453">
        <v>1</v>
      </c>
    </row>
    <row r="1901" spans="1:10" ht="15.75">
      <c r="A1901" s="760">
        <v>62</v>
      </c>
      <c r="B1901" s="765" t="s">
        <v>4597</v>
      </c>
      <c r="C1901" s="453" t="s">
        <v>4639</v>
      </c>
      <c r="D1901" s="453" t="s">
        <v>286</v>
      </c>
      <c r="E1901" s="453">
        <v>1</v>
      </c>
      <c r="F1901" s="453"/>
      <c r="G1901" s="453"/>
      <c r="H1901" s="453">
        <v>1</v>
      </c>
      <c r="I1901" s="453"/>
      <c r="J1901" s="453"/>
    </row>
    <row r="1902" spans="1:10" ht="15.75">
      <c r="A1902" s="760">
        <v>63</v>
      </c>
      <c r="B1902" s="765" t="s">
        <v>4597</v>
      </c>
      <c r="C1902" s="453" t="s">
        <v>619</v>
      </c>
      <c r="D1902" s="453" t="s">
        <v>286</v>
      </c>
      <c r="E1902" s="453">
        <v>1</v>
      </c>
      <c r="F1902" s="453"/>
      <c r="G1902" s="453"/>
      <c r="H1902" s="453">
        <v>1</v>
      </c>
      <c r="I1902" s="453"/>
      <c r="J1902" s="453"/>
    </row>
    <row r="1903" spans="1:10" ht="15.75">
      <c r="A1903" s="760">
        <v>64</v>
      </c>
      <c r="B1903" s="765" t="s">
        <v>4640</v>
      </c>
      <c r="C1903" s="453" t="s">
        <v>4641</v>
      </c>
      <c r="D1903" s="453" t="s">
        <v>464</v>
      </c>
      <c r="E1903" s="453" t="s">
        <v>4690</v>
      </c>
      <c r="F1903" s="453"/>
      <c r="G1903" s="453"/>
      <c r="H1903" s="453">
        <v>4</v>
      </c>
      <c r="I1903" s="453"/>
      <c r="J1903" s="453"/>
    </row>
    <row r="1904" spans="1:10" ht="15.75">
      <c r="A1904" s="760">
        <v>65</v>
      </c>
      <c r="B1904" s="803" t="s">
        <v>4589</v>
      </c>
      <c r="C1904" s="78" t="s">
        <v>4642</v>
      </c>
      <c r="D1904" s="453" t="s">
        <v>286</v>
      </c>
      <c r="E1904" s="453">
        <v>10</v>
      </c>
      <c r="F1904" s="453"/>
      <c r="G1904" s="453"/>
      <c r="H1904" s="453">
        <v>4</v>
      </c>
      <c r="I1904" s="453">
        <v>3</v>
      </c>
      <c r="J1904" s="453">
        <v>3</v>
      </c>
    </row>
    <row r="1905" spans="1:10" ht="15.75">
      <c r="A1905" s="760">
        <v>66</v>
      </c>
      <c r="B1905" s="803" t="s">
        <v>4589</v>
      </c>
      <c r="C1905" s="78" t="s">
        <v>4643</v>
      </c>
      <c r="D1905" s="453" t="s">
        <v>286</v>
      </c>
      <c r="E1905" s="453">
        <v>10</v>
      </c>
      <c r="F1905" s="453"/>
      <c r="G1905" s="453"/>
      <c r="H1905" s="453">
        <v>4</v>
      </c>
      <c r="I1905" s="453">
        <v>3</v>
      </c>
      <c r="J1905" s="453">
        <v>3</v>
      </c>
    </row>
    <row r="1906" spans="1:10" ht="15.75">
      <c r="A1906" s="760">
        <v>67</v>
      </c>
      <c r="B1906" s="803" t="s">
        <v>4589</v>
      </c>
      <c r="C1906" s="78" t="s">
        <v>4644</v>
      </c>
      <c r="D1906" s="453" t="s">
        <v>286</v>
      </c>
      <c r="E1906" s="453">
        <v>50</v>
      </c>
      <c r="F1906" s="453"/>
      <c r="G1906" s="453"/>
      <c r="H1906" s="453">
        <v>30</v>
      </c>
      <c r="I1906" s="453">
        <v>10</v>
      </c>
      <c r="J1906" s="453">
        <v>10</v>
      </c>
    </row>
    <row r="1907" spans="1:10" ht="15.75">
      <c r="A1907" s="760">
        <v>68</v>
      </c>
      <c r="B1907" s="803" t="s">
        <v>4589</v>
      </c>
      <c r="C1907" s="78" t="s">
        <v>4645</v>
      </c>
      <c r="D1907" s="453" t="s">
        <v>286</v>
      </c>
      <c r="E1907" s="453">
        <v>40</v>
      </c>
      <c r="F1907" s="453"/>
      <c r="G1907" s="453"/>
      <c r="H1907" s="453">
        <v>20</v>
      </c>
      <c r="I1907" s="453">
        <v>10</v>
      </c>
      <c r="J1907" s="453">
        <v>10</v>
      </c>
    </row>
    <row r="1908" spans="1:10" ht="15.75">
      <c r="A1908" s="760">
        <v>69</v>
      </c>
      <c r="B1908" s="803" t="s">
        <v>4646</v>
      </c>
      <c r="C1908" s="78" t="s">
        <v>4647</v>
      </c>
      <c r="D1908" s="453" t="s">
        <v>286</v>
      </c>
      <c r="E1908" s="453">
        <v>3</v>
      </c>
      <c r="F1908" s="453"/>
      <c r="G1908" s="453"/>
      <c r="H1908" s="453">
        <v>1</v>
      </c>
      <c r="I1908" s="453">
        <v>1</v>
      </c>
      <c r="J1908" s="453">
        <v>1</v>
      </c>
    </row>
    <row r="1909" spans="1:10" ht="15.75">
      <c r="A1909" s="760">
        <v>70</v>
      </c>
      <c r="B1909" s="803" t="s">
        <v>4648</v>
      </c>
      <c r="C1909" s="78" t="s">
        <v>4649</v>
      </c>
      <c r="D1909" s="453" t="s">
        <v>286</v>
      </c>
      <c r="E1909" s="453">
        <v>50</v>
      </c>
      <c r="F1909" s="453"/>
      <c r="G1909" s="453"/>
      <c r="H1909" s="453">
        <v>30</v>
      </c>
      <c r="I1909" s="453">
        <v>10</v>
      </c>
      <c r="J1909" s="453">
        <v>10</v>
      </c>
    </row>
    <row r="1910" spans="1:10" ht="15.75">
      <c r="A1910" s="760">
        <v>71</v>
      </c>
      <c r="B1910" s="803" t="s">
        <v>4648</v>
      </c>
      <c r="C1910" s="78" t="s">
        <v>4650</v>
      </c>
      <c r="D1910" s="453" t="s">
        <v>286</v>
      </c>
      <c r="E1910" s="453">
        <v>50</v>
      </c>
      <c r="F1910" s="453"/>
      <c r="G1910" s="453"/>
      <c r="H1910" s="453">
        <v>30</v>
      </c>
      <c r="I1910" s="453">
        <v>10</v>
      </c>
      <c r="J1910" s="453">
        <v>10</v>
      </c>
    </row>
    <row r="1911" spans="1:10" ht="15.75">
      <c r="A1911" s="760">
        <v>72</v>
      </c>
      <c r="B1911" s="803" t="s">
        <v>4648</v>
      </c>
      <c r="C1911" s="78" t="s">
        <v>4651</v>
      </c>
      <c r="D1911" s="453" t="s">
        <v>286</v>
      </c>
      <c r="E1911" s="453">
        <v>50</v>
      </c>
      <c r="F1911" s="453"/>
      <c r="G1911" s="453"/>
      <c r="H1911" s="453">
        <v>30</v>
      </c>
      <c r="I1911" s="453">
        <v>10</v>
      </c>
      <c r="J1911" s="453">
        <v>10</v>
      </c>
    </row>
    <row r="1912" spans="1:10" ht="15.75">
      <c r="A1912" s="760">
        <v>73</v>
      </c>
      <c r="B1912" s="803" t="s">
        <v>4648</v>
      </c>
      <c r="C1912" s="78" t="s">
        <v>4652</v>
      </c>
      <c r="D1912" s="453" t="s">
        <v>286</v>
      </c>
      <c r="E1912" s="453">
        <v>50</v>
      </c>
      <c r="F1912" s="453"/>
      <c r="G1912" s="453"/>
      <c r="H1912" s="453">
        <v>30</v>
      </c>
      <c r="I1912" s="453">
        <v>10</v>
      </c>
      <c r="J1912" s="453">
        <v>10</v>
      </c>
    </row>
    <row r="1913" spans="1:10" ht="15.75">
      <c r="A1913" s="760">
        <v>74</v>
      </c>
      <c r="B1913" s="803" t="s">
        <v>4648</v>
      </c>
      <c r="C1913" s="78" t="s">
        <v>4653</v>
      </c>
      <c r="D1913" s="453" t="s">
        <v>286</v>
      </c>
      <c r="E1913" s="453">
        <v>50</v>
      </c>
      <c r="F1913" s="453"/>
      <c r="G1913" s="453"/>
      <c r="H1913" s="453">
        <v>30</v>
      </c>
      <c r="I1913" s="453">
        <v>10</v>
      </c>
      <c r="J1913" s="453">
        <v>10</v>
      </c>
    </row>
    <row r="1914" spans="1:10" ht="15.75">
      <c r="A1914" s="760">
        <v>75</v>
      </c>
      <c r="B1914" s="803" t="s">
        <v>4654</v>
      </c>
      <c r="C1914" s="78" t="s">
        <v>4655</v>
      </c>
      <c r="D1914" s="453" t="s">
        <v>286</v>
      </c>
      <c r="E1914" s="453">
        <v>2</v>
      </c>
      <c r="F1914" s="453"/>
      <c r="G1914" s="453"/>
      <c r="H1914" s="453">
        <v>1</v>
      </c>
      <c r="I1914" s="453">
        <v>1</v>
      </c>
      <c r="J1914" s="453"/>
    </row>
    <row r="1915" spans="1:10" ht="15.75">
      <c r="A1915" s="760">
        <v>76</v>
      </c>
      <c r="B1915" s="765" t="s">
        <v>4350</v>
      </c>
      <c r="C1915" s="453"/>
      <c r="D1915" s="453" t="s">
        <v>693</v>
      </c>
      <c r="E1915" s="453">
        <v>1</v>
      </c>
      <c r="F1915" s="453"/>
      <c r="G1915" s="453"/>
      <c r="H1915" s="453">
        <v>1</v>
      </c>
      <c r="I1915" s="453"/>
      <c r="J1915" s="453"/>
    </row>
    <row r="1916" spans="1:10" ht="15.75">
      <c r="A1916" s="760">
        <v>77</v>
      </c>
      <c r="B1916" s="765" t="s">
        <v>4656</v>
      </c>
      <c r="C1916" s="453"/>
      <c r="D1916" s="453" t="s">
        <v>286</v>
      </c>
      <c r="E1916" s="453">
        <v>5</v>
      </c>
      <c r="F1916" s="453"/>
      <c r="G1916" s="453"/>
      <c r="H1916" s="453">
        <v>3</v>
      </c>
      <c r="I1916" s="453">
        <v>2</v>
      </c>
      <c r="J1916" s="453"/>
    </row>
    <row r="1917" spans="1:10" ht="15.75">
      <c r="A1917" s="760">
        <v>78</v>
      </c>
      <c r="B1917" s="765" t="s">
        <v>3280</v>
      </c>
      <c r="C1917" s="453"/>
      <c r="D1917" s="453" t="s">
        <v>286</v>
      </c>
      <c r="E1917" s="453">
        <v>12</v>
      </c>
      <c r="F1917" s="453"/>
      <c r="G1917" s="453"/>
      <c r="H1917" s="453">
        <v>6</v>
      </c>
      <c r="I1917" s="453">
        <v>6</v>
      </c>
      <c r="J1917" s="453"/>
    </row>
    <row r="1918" spans="1:10" ht="15.75">
      <c r="A1918" s="760">
        <v>79</v>
      </c>
      <c r="B1918" s="765" t="s">
        <v>4657</v>
      </c>
      <c r="C1918" s="453" t="s">
        <v>4658</v>
      </c>
      <c r="D1918" s="453" t="s">
        <v>286</v>
      </c>
      <c r="E1918" s="453">
        <v>30</v>
      </c>
      <c r="F1918" s="453"/>
      <c r="G1918" s="453"/>
      <c r="H1918" s="453">
        <v>10</v>
      </c>
      <c r="I1918" s="453">
        <v>10</v>
      </c>
      <c r="J1918" s="453">
        <v>10</v>
      </c>
    </row>
    <row r="1919" spans="1:10" ht="15.75">
      <c r="A1919" s="760">
        <v>80</v>
      </c>
      <c r="B1919" s="765" t="s">
        <v>4659</v>
      </c>
      <c r="C1919" s="453" t="s">
        <v>4593</v>
      </c>
      <c r="D1919" s="453" t="s">
        <v>286</v>
      </c>
      <c r="E1919" s="453">
        <v>60</v>
      </c>
      <c r="F1919" s="453"/>
      <c r="G1919" s="453"/>
      <c r="H1919" s="453">
        <v>20</v>
      </c>
      <c r="I1919" s="453">
        <v>20</v>
      </c>
      <c r="J1919" s="453">
        <v>20</v>
      </c>
    </row>
    <row r="1920" spans="1:10" ht="15.75">
      <c r="A1920" s="760">
        <v>81</v>
      </c>
      <c r="B1920" s="765" t="s">
        <v>4660</v>
      </c>
      <c r="C1920" s="453"/>
      <c r="D1920" s="453" t="s">
        <v>693</v>
      </c>
      <c r="E1920" s="453">
        <v>20</v>
      </c>
      <c r="F1920" s="453"/>
      <c r="G1920" s="453"/>
      <c r="H1920" s="453">
        <v>10</v>
      </c>
      <c r="I1920" s="453">
        <v>5</v>
      </c>
      <c r="J1920" s="453">
        <v>5</v>
      </c>
    </row>
    <row r="1921" spans="1:10" ht="15.75">
      <c r="A1921" s="760">
        <v>82</v>
      </c>
      <c r="B1921" s="765" t="s">
        <v>4661</v>
      </c>
      <c r="C1921" s="453" t="s">
        <v>4662</v>
      </c>
      <c r="D1921" s="453" t="s">
        <v>286</v>
      </c>
      <c r="E1921" s="453">
        <v>5</v>
      </c>
      <c r="F1921" s="453"/>
      <c r="G1921" s="453"/>
      <c r="H1921" s="453">
        <v>3</v>
      </c>
      <c r="I1921" s="453">
        <v>1</v>
      </c>
      <c r="J1921" s="453">
        <v>1</v>
      </c>
    </row>
    <row r="1922" spans="1:10" ht="15.75">
      <c r="A1922" s="760">
        <v>83</v>
      </c>
      <c r="B1922" s="765" t="s">
        <v>4663</v>
      </c>
      <c r="C1922" s="453" t="s">
        <v>4664</v>
      </c>
      <c r="D1922" s="453" t="s">
        <v>693</v>
      </c>
      <c r="E1922" s="453">
        <v>20</v>
      </c>
      <c r="F1922" s="453"/>
      <c r="G1922" s="453"/>
      <c r="H1922" s="453">
        <v>10</v>
      </c>
      <c r="I1922" s="453">
        <v>10</v>
      </c>
      <c r="J1922" s="453"/>
    </row>
    <row r="1923" spans="1:10" ht="15.75">
      <c r="A1923" s="760">
        <v>84</v>
      </c>
      <c r="B1923" s="765" t="s">
        <v>4665</v>
      </c>
      <c r="C1923" s="453"/>
      <c r="D1923" s="453" t="s">
        <v>693</v>
      </c>
      <c r="E1923" s="453">
        <v>10</v>
      </c>
      <c r="F1923" s="453"/>
      <c r="G1923" s="453"/>
      <c r="H1923" s="453">
        <v>5</v>
      </c>
      <c r="I1923" s="453">
        <v>5</v>
      </c>
      <c r="J1923" s="453"/>
    </row>
    <row r="1924" spans="1:10" ht="15.75">
      <c r="A1924" s="760">
        <v>85</v>
      </c>
      <c r="B1924" s="765" t="s">
        <v>4608</v>
      </c>
      <c r="C1924" s="453" t="s">
        <v>2168</v>
      </c>
      <c r="D1924" s="453" t="s">
        <v>693</v>
      </c>
      <c r="E1924" s="453">
        <v>20</v>
      </c>
      <c r="F1924" s="453"/>
      <c r="G1924" s="453"/>
      <c r="H1924" s="453">
        <v>10</v>
      </c>
      <c r="I1924" s="453">
        <v>5</v>
      </c>
      <c r="J1924" s="453">
        <v>5</v>
      </c>
    </row>
    <row r="1925" spans="1:10" ht="15.75">
      <c r="A1925" s="760">
        <v>86</v>
      </c>
      <c r="B1925" s="765" t="s">
        <v>4608</v>
      </c>
      <c r="C1925" s="453" t="s">
        <v>4666</v>
      </c>
      <c r="D1925" s="453" t="s">
        <v>693</v>
      </c>
      <c r="E1925" s="453">
        <v>20</v>
      </c>
      <c r="F1925" s="453"/>
      <c r="G1925" s="453"/>
      <c r="H1925" s="453">
        <v>10</v>
      </c>
      <c r="I1925" s="453">
        <v>5</v>
      </c>
      <c r="J1925" s="453">
        <v>5</v>
      </c>
    </row>
    <row r="1926" spans="1:10" ht="15.75">
      <c r="A1926" s="760">
        <v>87</v>
      </c>
      <c r="B1926" s="765" t="s">
        <v>4608</v>
      </c>
      <c r="C1926" s="453" t="s">
        <v>4667</v>
      </c>
      <c r="D1926" s="453" t="s">
        <v>693</v>
      </c>
      <c r="E1926" s="453">
        <v>20</v>
      </c>
      <c r="F1926" s="453"/>
      <c r="G1926" s="453"/>
      <c r="H1926" s="453">
        <v>10</v>
      </c>
      <c r="I1926" s="453">
        <v>5</v>
      </c>
      <c r="J1926" s="453">
        <v>5</v>
      </c>
    </row>
    <row r="1927" spans="1:10" ht="15.75">
      <c r="A1927" s="760">
        <v>88</v>
      </c>
      <c r="B1927" s="765" t="s">
        <v>4668</v>
      </c>
      <c r="C1927" s="453"/>
      <c r="D1927" s="453" t="s">
        <v>286</v>
      </c>
      <c r="E1927" s="453">
        <v>5</v>
      </c>
      <c r="F1927" s="453"/>
      <c r="G1927" s="453"/>
      <c r="H1927" s="453">
        <v>3</v>
      </c>
      <c r="I1927" s="453">
        <v>1</v>
      </c>
      <c r="J1927" s="453">
        <v>1</v>
      </c>
    </row>
    <row r="1928" spans="1:10" ht="15.75">
      <c r="A1928" s="760">
        <v>89</v>
      </c>
      <c r="B1928" s="803" t="s">
        <v>3090</v>
      </c>
      <c r="C1928" s="453"/>
      <c r="D1928" s="453" t="s">
        <v>286</v>
      </c>
      <c r="E1928" s="453">
        <v>10</v>
      </c>
      <c r="F1928" s="453"/>
      <c r="G1928" s="453"/>
      <c r="H1928" s="453">
        <v>4</v>
      </c>
      <c r="I1928" s="453">
        <v>3</v>
      </c>
      <c r="J1928" s="453">
        <v>3</v>
      </c>
    </row>
    <row r="1929" spans="1:10" ht="15.75">
      <c r="A1929" s="760">
        <v>90</v>
      </c>
      <c r="B1929" s="765" t="s">
        <v>4669</v>
      </c>
      <c r="C1929" s="453"/>
      <c r="D1929" s="453" t="s">
        <v>286</v>
      </c>
      <c r="E1929" s="453">
        <v>5</v>
      </c>
      <c r="F1929" s="453"/>
      <c r="G1929" s="453"/>
      <c r="H1929" s="453">
        <v>3</v>
      </c>
      <c r="I1929" s="453">
        <v>2</v>
      </c>
      <c r="J1929" s="453"/>
    </row>
    <row r="1930" spans="1:10" ht="15.75">
      <c r="A1930" s="760">
        <v>91</v>
      </c>
      <c r="B1930" s="765" t="s">
        <v>4670</v>
      </c>
      <c r="C1930" s="453"/>
      <c r="D1930" s="453" t="s">
        <v>286</v>
      </c>
      <c r="E1930" s="453">
        <v>15</v>
      </c>
      <c r="F1930" s="453"/>
      <c r="G1930" s="453"/>
      <c r="H1930" s="453">
        <v>10</v>
      </c>
      <c r="I1930" s="453">
        <v>5</v>
      </c>
      <c r="J1930" s="453"/>
    </row>
    <row r="1931" spans="1:10" ht="15.75">
      <c r="A1931" s="760">
        <v>92</v>
      </c>
      <c r="B1931" s="765" t="s">
        <v>654</v>
      </c>
      <c r="C1931" s="453"/>
      <c r="D1931" s="453" t="s">
        <v>286</v>
      </c>
      <c r="E1931" s="453">
        <v>5</v>
      </c>
      <c r="F1931" s="453"/>
      <c r="G1931" s="453"/>
      <c r="H1931" s="453">
        <v>3</v>
      </c>
      <c r="I1931" s="453">
        <v>2</v>
      </c>
      <c r="J1931" s="453"/>
    </row>
    <row r="1932" spans="1:10" ht="15.75">
      <c r="A1932" s="760">
        <v>93</v>
      </c>
      <c r="B1932" s="765" t="s">
        <v>4671</v>
      </c>
      <c r="C1932" s="453"/>
      <c r="D1932" s="453" t="s">
        <v>693</v>
      </c>
      <c r="E1932" s="453">
        <v>4</v>
      </c>
      <c r="F1932" s="453"/>
      <c r="G1932" s="453"/>
      <c r="H1932" s="453">
        <v>2</v>
      </c>
      <c r="I1932" s="453">
        <v>2</v>
      </c>
      <c r="J1932" s="453"/>
    </row>
    <row r="1933" spans="1:10" ht="15.75">
      <c r="A1933" s="760">
        <v>94</v>
      </c>
      <c r="B1933" s="765" t="s">
        <v>4672</v>
      </c>
      <c r="C1933" s="453"/>
      <c r="D1933" s="453" t="s">
        <v>286</v>
      </c>
      <c r="E1933" s="453">
        <v>5</v>
      </c>
      <c r="F1933" s="453"/>
      <c r="G1933" s="453"/>
      <c r="H1933" s="453">
        <v>3</v>
      </c>
      <c r="I1933" s="453">
        <v>2</v>
      </c>
      <c r="J1933" s="453"/>
    </row>
    <row r="1934" spans="1:10" ht="15.75">
      <c r="A1934" s="760">
        <v>95</v>
      </c>
      <c r="B1934" s="765" t="s">
        <v>4673</v>
      </c>
      <c r="C1934" s="453" t="s">
        <v>4674</v>
      </c>
      <c r="D1934" s="453" t="s">
        <v>286</v>
      </c>
      <c r="E1934" s="453">
        <v>20</v>
      </c>
      <c r="F1934" s="453"/>
      <c r="G1934" s="453"/>
      <c r="H1934" s="453">
        <v>10</v>
      </c>
      <c r="I1934" s="453">
        <v>10</v>
      </c>
      <c r="J1934" s="453"/>
    </row>
    <row r="1935" spans="1:10" ht="15.75">
      <c r="A1935" s="760">
        <v>96</v>
      </c>
      <c r="B1935" s="765" t="s">
        <v>4675</v>
      </c>
      <c r="C1935" s="453" t="s">
        <v>4676</v>
      </c>
      <c r="D1935" s="453" t="s">
        <v>286</v>
      </c>
      <c r="E1935" s="453">
        <v>6</v>
      </c>
      <c r="F1935" s="453"/>
      <c r="G1935" s="453"/>
      <c r="H1935" s="453">
        <v>2</v>
      </c>
      <c r="I1935" s="453">
        <v>2</v>
      </c>
      <c r="J1935" s="453">
        <v>2</v>
      </c>
    </row>
    <row r="1936" spans="1:10" ht="15.75">
      <c r="A1936" s="760">
        <v>97</v>
      </c>
      <c r="B1936" s="765" t="s">
        <v>4677</v>
      </c>
      <c r="C1936" s="453" t="s">
        <v>4678</v>
      </c>
      <c r="D1936" s="453" t="s">
        <v>286</v>
      </c>
      <c r="E1936" s="453">
        <v>15</v>
      </c>
      <c r="F1936" s="453"/>
      <c r="G1936" s="453"/>
      <c r="H1936" s="453">
        <v>5</v>
      </c>
      <c r="I1936" s="453">
        <v>5</v>
      </c>
      <c r="J1936" s="453">
        <v>5</v>
      </c>
    </row>
    <row r="1937" spans="1:10" ht="15.75">
      <c r="A1937" s="760">
        <v>98</v>
      </c>
      <c r="B1937" s="765" t="s">
        <v>4679</v>
      </c>
      <c r="C1937" s="453"/>
      <c r="D1937" s="453" t="s">
        <v>286</v>
      </c>
      <c r="E1937" s="453">
        <v>60</v>
      </c>
      <c r="F1937" s="453"/>
      <c r="G1937" s="453"/>
      <c r="H1937" s="453">
        <v>20</v>
      </c>
      <c r="I1937" s="453">
        <v>20</v>
      </c>
      <c r="J1937" s="453">
        <v>20</v>
      </c>
    </row>
    <row r="1938" spans="1:10" ht="15.75">
      <c r="A1938" s="760">
        <v>99</v>
      </c>
      <c r="B1938" s="765" t="s">
        <v>3138</v>
      </c>
      <c r="C1938" s="453"/>
      <c r="D1938" s="453" t="s">
        <v>286</v>
      </c>
      <c r="E1938" s="453">
        <v>21</v>
      </c>
      <c r="F1938" s="453"/>
      <c r="G1938" s="453"/>
      <c r="H1938" s="453">
        <v>10</v>
      </c>
      <c r="I1938" s="453">
        <v>6</v>
      </c>
      <c r="J1938" s="453">
        <v>5</v>
      </c>
    </row>
    <row r="1939" spans="1:10" ht="15.75">
      <c r="A1939" s="760">
        <v>100</v>
      </c>
      <c r="B1939" s="765" t="s">
        <v>4680</v>
      </c>
      <c r="C1939" s="453"/>
      <c r="D1939" s="453" t="s">
        <v>286</v>
      </c>
      <c r="E1939" s="453">
        <v>46</v>
      </c>
      <c r="F1939" s="453"/>
      <c r="G1939" s="453"/>
      <c r="H1939" s="453">
        <v>20</v>
      </c>
      <c r="I1939" s="453">
        <v>16</v>
      </c>
      <c r="J1939" s="453">
        <v>10</v>
      </c>
    </row>
    <row r="1940" spans="1:10" ht="15.75">
      <c r="A1940" s="760">
        <v>101</v>
      </c>
      <c r="B1940" s="765" t="s">
        <v>4681</v>
      </c>
      <c r="C1940" s="453"/>
      <c r="D1940" s="453" t="s">
        <v>286</v>
      </c>
      <c r="E1940" s="453">
        <v>11</v>
      </c>
      <c r="F1940" s="453"/>
      <c r="G1940" s="453"/>
      <c r="H1940" s="453">
        <v>5</v>
      </c>
      <c r="I1940" s="453">
        <v>6</v>
      </c>
      <c r="J1940" s="453"/>
    </row>
    <row r="1941" spans="1:10" ht="15.75">
      <c r="A1941" s="760">
        <v>102</v>
      </c>
      <c r="B1941" s="765" t="s">
        <v>4682</v>
      </c>
      <c r="C1941" s="453"/>
      <c r="D1941" s="453" t="s">
        <v>286</v>
      </c>
      <c r="E1941" s="453">
        <v>8</v>
      </c>
      <c r="F1941" s="453"/>
      <c r="G1941" s="453"/>
      <c r="H1941" s="453">
        <v>4</v>
      </c>
      <c r="I1941" s="453">
        <v>4</v>
      </c>
      <c r="J1941" s="453"/>
    </row>
    <row r="1942" spans="1:10" ht="15.75">
      <c r="A1942" s="760">
        <v>103</v>
      </c>
      <c r="B1942" s="765" t="s">
        <v>3144</v>
      </c>
      <c r="C1942" s="453"/>
      <c r="D1942" s="453" t="s">
        <v>286</v>
      </c>
      <c r="E1942" s="453">
        <v>6</v>
      </c>
      <c r="F1942" s="453"/>
      <c r="G1942" s="453"/>
      <c r="H1942" s="453">
        <v>2</v>
      </c>
      <c r="I1942" s="453">
        <v>2</v>
      </c>
      <c r="J1942" s="453">
        <v>2</v>
      </c>
    </row>
    <row r="1943" spans="1:10" ht="15.75">
      <c r="A1943" s="760">
        <v>104</v>
      </c>
      <c r="B1943" s="765" t="s">
        <v>4243</v>
      </c>
      <c r="C1943" s="453"/>
      <c r="D1943" s="453" t="s">
        <v>286</v>
      </c>
      <c r="E1943" s="453">
        <v>3</v>
      </c>
      <c r="F1943" s="453"/>
      <c r="G1943" s="453"/>
      <c r="H1943" s="453">
        <v>1</v>
      </c>
      <c r="I1943" s="453">
        <v>1</v>
      </c>
      <c r="J1943" s="453">
        <v>1</v>
      </c>
    </row>
    <row r="1944" spans="1:10" ht="15.75">
      <c r="A1944" s="760">
        <v>105</v>
      </c>
      <c r="B1944" s="765" t="s">
        <v>4683</v>
      </c>
      <c r="C1944" s="453"/>
      <c r="D1944" s="453" t="s">
        <v>286</v>
      </c>
      <c r="E1944" s="453">
        <v>3</v>
      </c>
      <c r="F1944" s="453"/>
      <c r="G1944" s="453"/>
      <c r="H1944" s="453">
        <v>1</v>
      </c>
      <c r="I1944" s="453">
        <v>1</v>
      </c>
      <c r="J1944" s="453">
        <v>1</v>
      </c>
    </row>
    <row r="1945" spans="1:10" ht="15.75">
      <c r="A1945" s="760">
        <v>106</v>
      </c>
      <c r="B1945" s="765" t="s">
        <v>4247</v>
      </c>
      <c r="C1945" s="453"/>
      <c r="D1945" s="453" t="s">
        <v>693</v>
      </c>
      <c r="E1945" s="453">
        <v>8</v>
      </c>
      <c r="F1945" s="453"/>
      <c r="G1945" s="453"/>
      <c r="H1945" s="453">
        <v>4</v>
      </c>
      <c r="I1945" s="453">
        <v>2</v>
      </c>
      <c r="J1945" s="453">
        <v>2</v>
      </c>
    </row>
    <row r="1946" spans="1:10" ht="15.75">
      <c r="A1946" s="760">
        <v>107</v>
      </c>
      <c r="B1946" s="765" t="s">
        <v>4684</v>
      </c>
      <c r="C1946" s="453"/>
      <c r="D1946" s="453" t="s">
        <v>286</v>
      </c>
      <c r="E1946" s="453">
        <v>26</v>
      </c>
      <c r="F1946" s="453"/>
      <c r="G1946" s="453"/>
      <c r="H1946" s="453">
        <v>16</v>
      </c>
      <c r="I1946" s="453">
        <v>5</v>
      </c>
      <c r="J1946" s="453">
        <v>5</v>
      </c>
    </row>
    <row r="1947" spans="1:10" ht="15.75">
      <c r="A1947" s="760">
        <v>108</v>
      </c>
      <c r="B1947" s="765" t="s">
        <v>4249</v>
      </c>
      <c r="C1947" s="453"/>
      <c r="D1947" s="453" t="s">
        <v>286</v>
      </c>
      <c r="E1947" s="453">
        <v>28</v>
      </c>
      <c r="F1947" s="453"/>
      <c r="G1947" s="453"/>
      <c r="H1947" s="453">
        <v>18</v>
      </c>
      <c r="I1947" s="453">
        <v>5</v>
      </c>
      <c r="J1947" s="453">
        <v>5</v>
      </c>
    </row>
    <row r="1948" spans="1:10" ht="15.75">
      <c r="A1948" s="760">
        <v>109</v>
      </c>
      <c r="B1948" s="765" t="s">
        <v>4685</v>
      </c>
      <c r="C1948" s="453"/>
      <c r="D1948" s="453" t="s">
        <v>693</v>
      </c>
      <c r="E1948" s="453">
        <v>16</v>
      </c>
      <c r="F1948" s="453"/>
      <c r="G1948" s="453"/>
      <c r="H1948" s="453">
        <v>8</v>
      </c>
      <c r="I1948" s="453">
        <v>4</v>
      </c>
      <c r="J1948" s="453">
        <v>4</v>
      </c>
    </row>
    <row r="1949" spans="1:10" ht="20.25">
      <c r="A1949" s="760">
        <v>110</v>
      </c>
      <c r="B1949" s="765" t="s">
        <v>4686</v>
      </c>
      <c r="C1949" s="294"/>
      <c r="D1949" s="453" t="s">
        <v>286</v>
      </c>
      <c r="E1949" s="453">
        <v>8</v>
      </c>
      <c r="F1949" s="453"/>
      <c r="G1949" s="453"/>
      <c r="H1949" s="453">
        <v>4</v>
      </c>
      <c r="I1949" s="453">
        <v>2</v>
      </c>
      <c r="J1949" s="453">
        <v>2</v>
      </c>
    </row>
    <row r="1950" spans="1:10" ht="31.5">
      <c r="A1950" s="760">
        <v>111</v>
      </c>
      <c r="B1950" s="765" t="s">
        <v>4687</v>
      </c>
      <c r="C1950" s="294"/>
      <c r="D1950" s="453" t="s">
        <v>286</v>
      </c>
      <c r="E1950" s="453">
        <v>80</v>
      </c>
      <c r="F1950" s="453"/>
      <c r="G1950" s="453"/>
      <c r="H1950" s="453">
        <v>40</v>
      </c>
      <c r="I1950" s="453">
        <v>20</v>
      </c>
      <c r="J1950" s="453">
        <v>20</v>
      </c>
    </row>
    <row r="1951" spans="1:10" ht="20.25">
      <c r="A1951" s="760">
        <v>112</v>
      </c>
      <c r="B1951" s="765" t="s">
        <v>3081</v>
      </c>
      <c r="C1951" s="294"/>
      <c r="D1951" s="453" t="s">
        <v>1178</v>
      </c>
      <c r="E1951" s="453">
        <v>100</v>
      </c>
      <c r="F1951" s="453"/>
      <c r="G1951" s="453"/>
      <c r="H1951" s="453">
        <v>40</v>
      </c>
      <c r="I1951" s="453">
        <v>30</v>
      </c>
      <c r="J1951" s="453">
        <v>30</v>
      </c>
    </row>
    <row r="1952" spans="1:10" ht="20.25">
      <c r="A1952" s="760">
        <v>113</v>
      </c>
      <c r="B1952" s="765" t="s">
        <v>4290</v>
      </c>
      <c r="C1952" s="294"/>
      <c r="D1952" s="453" t="s">
        <v>693</v>
      </c>
      <c r="E1952" s="453">
        <v>18</v>
      </c>
      <c r="F1952" s="453"/>
      <c r="G1952" s="453"/>
      <c r="H1952" s="453">
        <v>6</v>
      </c>
      <c r="I1952" s="453">
        <v>6</v>
      </c>
      <c r="J1952" s="453">
        <v>6</v>
      </c>
    </row>
    <row r="1953" spans="1:10">
      <c r="A1953" s="1020" t="s">
        <v>3059</v>
      </c>
      <c r="B1953" s="1021"/>
      <c r="C1953" s="1021"/>
      <c r="D1953" s="1021"/>
      <c r="E1953" s="1021"/>
      <c r="F1953" s="1021"/>
      <c r="G1953" s="1021"/>
      <c r="H1953" s="1021"/>
      <c r="I1953" s="1021"/>
      <c r="J1953" s="1022"/>
    </row>
    <row r="1954" spans="1:10" ht="31.5">
      <c r="A1954" s="452">
        <v>1</v>
      </c>
      <c r="B1954" s="773" t="s">
        <v>610</v>
      </c>
      <c r="C1954" s="750" t="s">
        <v>2196</v>
      </c>
      <c r="D1954" s="9">
        <f t="shared" ref="D1954:D1987" si="68">G1954+H1954+I1954+J1954</f>
        <v>500</v>
      </c>
      <c r="E1954" s="64" t="s">
        <v>692</v>
      </c>
      <c r="F1954" s="452" t="s">
        <v>2197</v>
      </c>
      <c r="G1954" s="8"/>
      <c r="H1954" s="750">
        <v>500</v>
      </c>
      <c r="I1954" s="750"/>
      <c r="J1954" s="750"/>
    </row>
    <row r="1955" spans="1:10" ht="15.75">
      <c r="A1955" s="452">
        <v>2</v>
      </c>
      <c r="B1955" s="773" t="s">
        <v>611</v>
      </c>
      <c r="C1955" s="750" t="s">
        <v>612</v>
      </c>
      <c r="D1955" s="9">
        <f t="shared" si="68"/>
        <v>5</v>
      </c>
      <c r="E1955" s="64" t="s">
        <v>286</v>
      </c>
      <c r="F1955" s="452" t="s">
        <v>2197</v>
      </c>
      <c r="G1955" s="8"/>
      <c r="H1955" s="750">
        <v>5</v>
      </c>
      <c r="I1955" s="750"/>
      <c r="J1955" s="750"/>
    </row>
    <row r="1956" spans="1:10" ht="15.75">
      <c r="A1956" s="452">
        <v>3</v>
      </c>
      <c r="B1956" s="780" t="s">
        <v>613</v>
      </c>
      <c r="C1956" s="750" t="s">
        <v>614</v>
      </c>
      <c r="D1956" s="9">
        <f t="shared" si="68"/>
        <v>1000</v>
      </c>
      <c r="E1956" s="750" t="s">
        <v>693</v>
      </c>
      <c r="F1956" s="452" t="s">
        <v>2197</v>
      </c>
      <c r="G1956" s="452">
        <v>250</v>
      </c>
      <c r="H1956" s="452">
        <v>250</v>
      </c>
      <c r="I1956" s="452">
        <v>250</v>
      </c>
      <c r="J1956" s="452">
        <v>250</v>
      </c>
    </row>
    <row r="1957" spans="1:10" ht="15.75">
      <c r="A1957" s="452">
        <v>4</v>
      </c>
      <c r="B1957" s="780" t="s">
        <v>613</v>
      </c>
      <c r="C1957" s="750" t="s">
        <v>615</v>
      </c>
      <c r="D1957" s="9">
        <f t="shared" si="68"/>
        <v>200</v>
      </c>
      <c r="E1957" s="750" t="s">
        <v>693</v>
      </c>
      <c r="F1957" s="452" t="s">
        <v>2197</v>
      </c>
      <c r="G1957" s="452">
        <v>50</v>
      </c>
      <c r="H1957" s="452">
        <v>50</v>
      </c>
      <c r="I1957" s="452">
        <v>50</v>
      </c>
      <c r="J1957" s="452">
        <v>50</v>
      </c>
    </row>
    <row r="1958" spans="1:10" ht="15.75">
      <c r="A1958" s="452">
        <v>5</v>
      </c>
      <c r="B1958" s="779" t="s">
        <v>627</v>
      </c>
      <c r="C1958" s="750" t="s">
        <v>628</v>
      </c>
      <c r="D1958" s="9">
        <f t="shared" si="68"/>
        <v>800</v>
      </c>
      <c r="E1958" s="750" t="s">
        <v>286</v>
      </c>
      <c r="F1958" s="452" t="s">
        <v>2197</v>
      </c>
      <c r="G1958" s="8"/>
      <c r="H1958" s="750">
        <v>400</v>
      </c>
      <c r="I1958" s="750">
        <v>400</v>
      </c>
      <c r="J1958" s="750"/>
    </row>
    <row r="1959" spans="1:10" ht="15.75">
      <c r="A1959" s="452">
        <v>6</v>
      </c>
      <c r="B1959" s="773" t="s">
        <v>687</v>
      </c>
      <c r="C1959" s="750" t="s">
        <v>688</v>
      </c>
      <c r="D1959" s="9">
        <f t="shared" si="68"/>
        <v>100</v>
      </c>
      <c r="E1959" s="750" t="s">
        <v>286</v>
      </c>
      <c r="F1959" s="452" t="s">
        <v>2197</v>
      </c>
      <c r="G1959" s="8"/>
      <c r="H1959" s="750"/>
      <c r="I1959" s="750">
        <v>50</v>
      </c>
      <c r="J1959" s="750">
        <v>50</v>
      </c>
    </row>
    <row r="1960" spans="1:10" ht="15.75">
      <c r="A1960" s="452">
        <v>7</v>
      </c>
      <c r="B1960" s="773" t="s">
        <v>662</v>
      </c>
      <c r="C1960" s="750" t="s">
        <v>663</v>
      </c>
      <c r="D1960" s="9">
        <f t="shared" si="68"/>
        <v>400</v>
      </c>
      <c r="E1960" s="750" t="s">
        <v>286</v>
      </c>
      <c r="F1960" s="452" t="s">
        <v>2197</v>
      </c>
      <c r="G1960" s="8">
        <v>200</v>
      </c>
      <c r="H1960" s="750"/>
      <c r="I1960" s="750">
        <v>200</v>
      </c>
      <c r="J1960" s="750"/>
    </row>
    <row r="1961" spans="1:10" ht="15.75">
      <c r="A1961" s="452">
        <v>8</v>
      </c>
      <c r="B1961" s="779" t="s">
        <v>2198</v>
      </c>
      <c r="C1961" s="750" t="s">
        <v>630</v>
      </c>
      <c r="D1961" s="9">
        <f t="shared" si="68"/>
        <v>4000</v>
      </c>
      <c r="E1961" s="750" t="s">
        <v>286</v>
      </c>
      <c r="F1961" s="452" t="s">
        <v>2197</v>
      </c>
      <c r="G1961" s="8">
        <v>1000</v>
      </c>
      <c r="H1961" s="750">
        <v>2000</v>
      </c>
      <c r="I1961" s="750">
        <v>1000</v>
      </c>
      <c r="J1961" s="750"/>
    </row>
    <row r="1962" spans="1:10" ht="15.75">
      <c r="A1962" s="452">
        <v>9</v>
      </c>
      <c r="B1962" s="779" t="s">
        <v>2199</v>
      </c>
      <c r="C1962" s="750" t="s">
        <v>631</v>
      </c>
      <c r="D1962" s="9">
        <f t="shared" si="68"/>
        <v>800</v>
      </c>
      <c r="E1962" s="750" t="s">
        <v>286</v>
      </c>
      <c r="F1962" s="452" t="s">
        <v>2197</v>
      </c>
      <c r="G1962" s="8">
        <v>200</v>
      </c>
      <c r="H1962" s="750">
        <v>200</v>
      </c>
      <c r="I1962" s="750">
        <v>200</v>
      </c>
      <c r="J1962" s="750">
        <v>200</v>
      </c>
    </row>
    <row r="1963" spans="1:10" ht="15.75">
      <c r="A1963" s="452">
        <v>10</v>
      </c>
      <c r="B1963" s="779" t="s">
        <v>2200</v>
      </c>
      <c r="C1963" s="750" t="s">
        <v>632</v>
      </c>
      <c r="D1963" s="9">
        <f t="shared" si="68"/>
        <v>800</v>
      </c>
      <c r="E1963" s="750" t="s">
        <v>286</v>
      </c>
      <c r="F1963" s="452" t="s">
        <v>2197</v>
      </c>
      <c r="G1963" s="8">
        <v>200</v>
      </c>
      <c r="H1963" s="750">
        <v>200</v>
      </c>
      <c r="I1963" s="750">
        <v>200</v>
      </c>
      <c r="J1963" s="750">
        <v>200</v>
      </c>
    </row>
    <row r="1964" spans="1:10" ht="15.75">
      <c r="A1964" s="452">
        <v>11</v>
      </c>
      <c r="B1964" s="779" t="s">
        <v>2201</v>
      </c>
      <c r="C1964" s="750" t="s">
        <v>633</v>
      </c>
      <c r="D1964" s="9">
        <f t="shared" si="68"/>
        <v>200</v>
      </c>
      <c r="E1964" s="750" t="s">
        <v>286</v>
      </c>
      <c r="F1964" s="452" t="s">
        <v>2197</v>
      </c>
      <c r="G1964" s="8">
        <v>50</v>
      </c>
      <c r="H1964" s="750">
        <v>50</v>
      </c>
      <c r="I1964" s="750">
        <v>100</v>
      </c>
      <c r="J1964" s="750"/>
    </row>
    <row r="1965" spans="1:10" ht="15.75">
      <c r="A1965" s="452">
        <v>12</v>
      </c>
      <c r="B1965" s="779" t="s">
        <v>2201</v>
      </c>
      <c r="C1965" s="750" t="s">
        <v>634</v>
      </c>
      <c r="D1965" s="9">
        <f t="shared" si="68"/>
        <v>200</v>
      </c>
      <c r="E1965" s="750" t="s">
        <v>286</v>
      </c>
      <c r="F1965" s="452" t="s">
        <v>2197</v>
      </c>
      <c r="G1965" s="8">
        <v>50</v>
      </c>
      <c r="H1965" s="750">
        <v>100</v>
      </c>
      <c r="I1965" s="750">
        <v>50</v>
      </c>
      <c r="J1965" s="750"/>
    </row>
    <row r="1966" spans="1:10" ht="15.75">
      <c r="A1966" s="452">
        <v>13</v>
      </c>
      <c r="B1966" s="773" t="s">
        <v>2202</v>
      </c>
      <c r="C1966" s="750" t="s">
        <v>636</v>
      </c>
      <c r="D1966" s="9">
        <f t="shared" si="68"/>
        <v>300</v>
      </c>
      <c r="E1966" s="750" t="s">
        <v>286</v>
      </c>
      <c r="F1966" s="452" t="s">
        <v>2197</v>
      </c>
      <c r="G1966" s="8">
        <v>100</v>
      </c>
      <c r="H1966" s="750">
        <v>50</v>
      </c>
      <c r="I1966" s="750">
        <v>50</v>
      </c>
      <c r="J1966" s="750">
        <v>100</v>
      </c>
    </row>
    <row r="1967" spans="1:10" ht="15.75">
      <c r="A1967" s="452">
        <v>14</v>
      </c>
      <c r="B1967" s="773" t="s">
        <v>2203</v>
      </c>
      <c r="C1967" s="750" t="s">
        <v>637</v>
      </c>
      <c r="D1967" s="9">
        <f t="shared" si="68"/>
        <v>300</v>
      </c>
      <c r="E1967" s="750" t="s">
        <v>286</v>
      </c>
      <c r="F1967" s="452" t="s">
        <v>2197</v>
      </c>
      <c r="G1967" s="8">
        <v>50</v>
      </c>
      <c r="H1967" s="750">
        <v>150</v>
      </c>
      <c r="I1967" s="750">
        <v>100</v>
      </c>
      <c r="J1967" s="750"/>
    </row>
    <row r="1968" spans="1:10" ht="15.75">
      <c r="A1968" s="452">
        <v>15</v>
      </c>
      <c r="B1968" s="773" t="s">
        <v>635</v>
      </c>
      <c r="C1968" s="750" t="s">
        <v>638</v>
      </c>
      <c r="D1968" s="9">
        <f t="shared" si="68"/>
        <v>800</v>
      </c>
      <c r="E1968" s="750" t="s">
        <v>286</v>
      </c>
      <c r="F1968" s="452" t="s">
        <v>2197</v>
      </c>
      <c r="G1968" s="8">
        <v>200</v>
      </c>
      <c r="H1968" s="750">
        <v>200</v>
      </c>
      <c r="I1968" s="750">
        <v>200</v>
      </c>
      <c r="J1968" s="750">
        <v>200</v>
      </c>
    </row>
    <row r="1969" spans="1:10" ht="15.75">
      <c r="A1969" s="452">
        <v>16</v>
      </c>
      <c r="B1969" s="779" t="s">
        <v>629</v>
      </c>
      <c r="C1969" s="750" t="s">
        <v>639</v>
      </c>
      <c r="D1969" s="9">
        <f t="shared" si="68"/>
        <v>200</v>
      </c>
      <c r="E1969" s="750" t="s">
        <v>286</v>
      </c>
      <c r="F1969" s="452" t="s">
        <v>2197</v>
      </c>
      <c r="G1969" s="8">
        <v>50</v>
      </c>
      <c r="H1969" s="750">
        <v>50</v>
      </c>
      <c r="I1969" s="750">
        <v>50</v>
      </c>
      <c r="J1969" s="750">
        <v>50</v>
      </c>
    </row>
    <row r="1970" spans="1:10" ht="15.75">
      <c r="A1970" s="452">
        <v>17</v>
      </c>
      <c r="B1970" s="779" t="s">
        <v>640</v>
      </c>
      <c r="C1970" s="750" t="s">
        <v>641</v>
      </c>
      <c r="D1970" s="9">
        <f t="shared" si="68"/>
        <v>100</v>
      </c>
      <c r="E1970" s="750" t="s">
        <v>286</v>
      </c>
      <c r="F1970" s="452" t="s">
        <v>2197</v>
      </c>
      <c r="G1970" s="8">
        <v>50</v>
      </c>
      <c r="H1970" s="750"/>
      <c r="I1970" s="750">
        <v>50</v>
      </c>
      <c r="J1970" s="750"/>
    </row>
    <row r="1971" spans="1:10" ht="15.75">
      <c r="A1971" s="452">
        <v>18</v>
      </c>
      <c r="B1971" s="779" t="s">
        <v>642</v>
      </c>
      <c r="C1971" s="750" t="s">
        <v>643</v>
      </c>
      <c r="D1971" s="9">
        <f t="shared" si="68"/>
        <v>8000</v>
      </c>
      <c r="E1971" s="750" t="s">
        <v>286</v>
      </c>
      <c r="F1971" s="452" t="s">
        <v>2197</v>
      </c>
      <c r="G1971" s="8">
        <v>2000</v>
      </c>
      <c r="H1971" s="750">
        <v>2000</v>
      </c>
      <c r="I1971" s="750">
        <v>4000</v>
      </c>
      <c r="J1971" s="750"/>
    </row>
    <row r="1972" spans="1:10" ht="15.75">
      <c r="A1972" s="452">
        <v>19</v>
      </c>
      <c r="B1972" s="779" t="s">
        <v>644</v>
      </c>
      <c r="C1972" s="750" t="s">
        <v>645</v>
      </c>
      <c r="D1972" s="9">
        <f t="shared" si="68"/>
        <v>60</v>
      </c>
      <c r="E1972" s="750" t="s">
        <v>693</v>
      </c>
      <c r="F1972" s="452" t="s">
        <v>2197</v>
      </c>
      <c r="G1972" s="8">
        <v>30</v>
      </c>
      <c r="H1972" s="750"/>
      <c r="I1972" s="750">
        <v>30</v>
      </c>
      <c r="J1972" s="750"/>
    </row>
    <row r="1973" spans="1:10" ht="15.75">
      <c r="A1973" s="452">
        <v>20</v>
      </c>
      <c r="B1973" s="773" t="s">
        <v>646</v>
      </c>
      <c r="C1973" s="750" t="s">
        <v>646</v>
      </c>
      <c r="D1973" s="9">
        <f t="shared" si="68"/>
        <v>800</v>
      </c>
      <c r="E1973" s="750" t="s">
        <v>286</v>
      </c>
      <c r="F1973" s="452" t="s">
        <v>2197</v>
      </c>
      <c r="G1973" s="8">
        <v>100</v>
      </c>
      <c r="H1973" s="750">
        <v>300</v>
      </c>
      <c r="I1973" s="750">
        <v>200</v>
      </c>
      <c r="J1973" s="750">
        <v>200</v>
      </c>
    </row>
    <row r="1974" spans="1:10" ht="15.75">
      <c r="A1974" s="452">
        <v>21</v>
      </c>
      <c r="B1974" s="773" t="s">
        <v>647</v>
      </c>
      <c r="C1974" s="750" t="s">
        <v>648</v>
      </c>
      <c r="D1974" s="9">
        <f t="shared" si="68"/>
        <v>400</v>
      </c>
      <c r="E1974" s="750" t="s">
        <v>286</v>
      </c>
      <c r="F1974" s="452" t="s">
        <v>2197</v>
      </c>
      <c r="G1974" s="8">
        <v>100</v>
      </c>
      <c r="H1974" s="750">
        <v>200</v>
      </c>
      <c r="I1974" s="750">
        <v>100</v>
      </c>
      <c r="J1974" s="750"/>
    </row>
    <row r="1975" spans="1:10" ht="15.75">
      <c r="A1975" s="452">
        <v>22</v>
      </c>
      <c r="B1975" s="773" t="s">
        <v>649</v>
      </c>
      <c r="C1975" s="750" t="s">
        <v>650</v>
      </c>
      <c r="D1975" s="9">
        <f t="shared" si="68"/>
        <v>200</v>
      </c>
      <c r="E1975" s="750" t="s">
        <v>693</v>
      </c>
      <c r="F1975" s="452" t="s">
        <v>2197</v>
      </c>
      <c r="G1975" s="8">
        <v>50</v>
      </c>
      <c r="H1975" s="750">
        <v>100</v>
      </c>
      <c r="I1975" s="750"/>
      <c r="J1975" s="750">
        <v>50</v>
      </c>
    </row>
    <row r="1976" spans="1:10" ht="15.75">
      <c r="A1976" s="452">
        <v>23</v>
      </c>
      <c r="B1976" s="779" t="s">
        <v>651</v>
      </c>
      <c r="C1976" s="750" t="s">
        <v>652</v>
      </c>
      <c r="D1976" s="9">
        <f t="shared" si="68"/>
        <v>400</v>
      </c>
      <c r="E1976" s="750" t="s">
        <v>693</v>
      </c>
      <c r="F1976" s="452" t="s">
        <v>2197</v>
      </c>
      <c r="G1976" s="8"/>
      <c r="H1976" s="750">
        <v>200</v>
      </c>
      <c r="I1976" s="750"/>
      <c r="J1976" s="750">
        <v>200</v>
      </c>
    </row>
    <row r="1977" spans="1:10" ht="15.75">
      <c r="A1977" s="452">
        <v>24</v>
      </c>
      <c r="B1977" s="779" t="s">
        <v>651</v>
      </c>
      <c r="C1977" s="750" t="s">
        <v>653</v>
      </c>
      <c r="D1977" s="9">
        <f t="shared" si="68"/>
        <v>400</v>
      </c>
      <c r="E1977" s="750" t="s">
        <v>693</v>
      </c>
      <c r="F1977" s="452" t="s">
        <v>2197</v>
      </c>
      <c r="G1977" s="8">
        <v>200</v>
      </c>
      <c r="H1977" s="750"/>
      <c r="I1977" s="750">
        <v>200</v>
      </c>
      <c r="J1977" s="750"/>
    </row>
    <row r="1978" spans="1:10" ht="15.75">
      <c r="A1978" s="452">
        <v>25</v>
      </c>
      <c r="B1978" s="773" t="s">
        <v>654</v>
      </c>
      <c r="C1978" s="750" t="s">
        <v>654</v>
      </c>
      <c r="D1978" s="9">
        <f t="shared" si="68"/>
        <v>100</v>
      </c>
      <c r="E1978" s="750" t="s">
        <v>286</v>
      </c>
      <c r="F1978" s="452" t="s">
        <v>2197</v>
      </c>
      <c r="G1978" s="8">
        <v>50</v>
      </c>
      <c r="H1978" s="750"/>
      <c r="I1978" s="750">
        <v>50</v>
      </c>
      <c r="J1978" s="750"/>
    </row>
    <row r="1979" spans="1:10" ht="15.75">
      <c r="A1979" s="452">
        <v>26</v>
      </c>
      <c r="B1979" s="773" t="s">
        <v>654</v>
      </c>
      <c r="C1979" s="750" t="s">
        <v>655</v>
      </c>
      <c r="D1979" s="9">
        <f t="shared" si="68"/>
        <v>100</v>
      </c>
      <c r="E1979" s="750" t="s">
        <v>286</v>
      </c>
      <c r="F1979" s="452" t="s">
        <v>2197</v>
      </c>
      <c r="G1979" s="8">
        <v>50</v>
      </c>
      <c r="H1979" s="750"/>
      <c r="I1979" s="750">
        <v>50</v>
      </c>
      <c r="J1979" s="750"/>
    </row>
    <row r="1980" spans="1:10" ht="15.75">
      <c r="A1980" s="452">
        <v>27</v>
      </c>
      <c r="B1980" s="779" t="s">
        <v>656</v>
      </c>
      <c r="C1980" s="750" t="s">
        <v>657</v>
      </c>
      <c r="D1980" s="9">
        <f t="shared" si="68"/>
        <v>100</v>
      </c>
      <c r="E1980" s="750" t="s">
        <v>286</v>
      </c>
      <c r="F1980" s="452" t="s">
        <v>2197</v>
      </c>
      <c r="G1980" s="8">
        <v>50</v>
      </c>
      <c r="H1980" s="750"/>
      <c r="I1980" s="750">
        <v>50</v>
      </c>
      <c r="J1980" s="750"/>
    </row>
    <row r="1981" spans="1:10" ht="15.75">
      <c r="A1981" s="452">
        <v>28</v>
      </c>
      <c r="B1981" s="779" t="s">
        <v>658</v>
      </c>
      <c r="C1981" s="750" t="s">
        <v>659</v>
      </c>
      <c r="D1981" s="9">
        <f t="shared" si="68"/>
        <v>100</v>
      </c>
      <c r="E1981" s="750" t="s">
        <v>286</v>
      </c>
      <c r="F1981" s="452" t="s">
        <v>2197</v>
      </c>
      <c r="G1981" s="8">
        <v>50</v>
      </c>
      <c r="H1981" s="750">
        <v>50</v>
      </c>
      <c r="I1981" s="750"/>
      <c r="J1981" s="750"/>
    </row>
    <row r="1982" spans="1:10" ht="15.75">
      <c r="A1982" s="452">
        <v>29</v>
      </c>
      <c r="B1982" s="773" t="s">
        <v>660</v>
      </c>
      <c r="C1982" s="750" t="s">
        <v>661</v>
      </c>
      <c r="D1982" s="9">
        <f t="shared" si="68"/>
        <v>250</v>
      </c>
      <c r="E1982" s="750" t="s">
        <v>286</v>
      </c>
      <c r="F1982" s="452" t="s">
        <v>2197</v>
      </c>
      <c r="G1982" s="8">
        <v>100</v>
      </c>
      <c r="H1982" s="750">
        <v>50</v>
      </c>
      <c r="I1982" s="750">
        <v>50</v>
      </c>
      <c r="J1982" s="750">
        <v>50</v>
      </c>
    </row>
    <row r="1983" spans="1:10" ht="31.5">
      <c r="A1983" s="452">
        <v>30</v>
      </c>
      <c r="B1983" s="765" t="s">
        <v>2204</v>
      </c>
      <c r="C1983" s="453" t="s">
        <v>2205</v>
      </c>
      <c r="D1983" s="9">
        <f t="shared" si="68"/>
        <v>100</v>
      </c>
      <c r="E1983" s="452" t="s">
        <v>286</v>
      </c>
      <c r="F1983" s="452" t="s">
        <v>2197</v>
      </c>
      <c r="G1983" s="452"/>
      <c r="H1983" s="452">
        <v>50</v>
      </c>
      <c r="I1983" s="452">
        <v>50</v>
      </c>
      <c r="J1983" s="452"/>
    </row>
    <row r="1984" spans="1:10" ht="31.5">
      <c r="A1984" s="452">
        <v>31</v>
      </c>
      <c r="B1984" s="765" t="s">
        <v>2206</v>
      </c>
      <c r="C1984" s="453" t="s">
        <v>2207</v>
      </c>
      <c r="D1984" s="9">
        <f t="shared" si="68"/>
        <v>100</v>
      </c>
      <c r="E1984" s="452" t="s">
        <v>286</v>
      </c>
      <c r="F1984" s="452" t="s">
        <v>2197</v>
      </c>
      <c r="G1984" s="452"/>
      <c r="H1984" s="452">
        <v>50</v>
      </c>
      <c r="I1984" s="452">
        <v>50</v>
      </c>
      <c r="J1984" s="452"/>
    </row>
    <row r="1985" spans="1:10" ht="15.75">
      <c r="A1985" s="452">
        <v>32</v>
      </c>
      <c r="B1985" s="804" t="s">
        <v>2208</v>
      </c>
      <c r="C1985" s="452"/>
      <c r="D1985" s="9">
        <f t="shared" si="68"/>
        <v>100</v>
      </c>
      <c r="E1985" s="452" t="s">
        <v>286</v>
      </c>
      <c r="F1985" s="452" t="s">
        <v>2197</v>
      </c>
      <c r="G1985" s="8">
        <v>50</v>
      </c>
      <c r="H1985" s="750">
        <v>50</v>
      </c>
      <c r="I1985" s="750"/>
      <c r="J1985" s="750"/>
    </row>
    <row r="1986" spans="1:10" ht="31.5">
      <c r="A1986" s="452">
        <v>33</v>
      </c>
      <c r="B1986" s="765" t="s">
        <v>2209</v>
      </c>
      <c r="C1986" s="453" t="s">
        <v>2210</v>
      </c>
      <c r="D1986" s="9">
        <f t="shared" si="68"/>
        <v>100</v>
      </c>
      <c r="E1986" s="452" t="s">
        <v>286</v>
      </c>
      <c r="F1986" s="452" t="s">
        <v>2197</v>
      </c>
      <c r="G1986" s="452">
        <v>100</v>
      </c>
      <c r="H1986" s="452"/>
      <c r="I1986" s="452"/>
      <c r="J1986" s="452"/>
    </row>
    <row r="1987" spans="1:10" ht="15.75">
      <c r="A1987" s="452">
        <v>34</v>
      </c>
      <c r="B1987" s="804" t="s">
        <v>673</v>
      </c>
      <c r="C1987" s="452"/>
      <c r="D1987" s="9">
        <f t="shared" si="68"/>
        <v>100</v>
      </c>
      <c r="E1987" s="452" t="s">
        <v>286</v>
      </c>
      <c r="F1987" s="452" t="s">
        <v>2197</v>
      </c>
      <c r="G1987" s="8">
        <v>50</v>
      </c>
      <c r="H1987" s="750">
        <v>50</v>
      </c>
      <c r="I1987" s="750"/>
      <c r="J1987" s="750"/>
    </row>
    <row r="1988" spans="1:10" s="669" customFormat="1">
      <c r="A1988" s="1020" t="s">
        <v>4699</v>
      </c>
      <c r="B1988" s="1021"/>
      <c r="C1988" s="1021"/>
      <c r="D1988" s="1021"/>
      <c r="E1988" s="1021"/>
      <c r="F1988" s="1021"/>
      <c r="G1988" s="1021"/>
      <c r="H1988" s="1021"/>
      <c r="I1988" s="1021"/>
      <c r="J1988" s="1022"/>
    </row>
    <row r="1989" spans="1:10" s="669" customFormat="1" ht="18.75">
      <c r="A1989" s="452">
        <v>1</v>
      </c>
      <c r="B1989" s="702" t="s">
        <v>3280</v>
      </c>
      <c r="C1989" s="816"/>
      <c r="D1989" s="9">
        <v>100</v>
      </c>
      <c r="E1989" s="818" t="s">
        <v>286</v>
      </c>
      <c r="F1989" s="452"/>
      <c r="G1989" s="452"/>
      <c r="H1989" s="452"/>
      <c r="I1989" s="452"/>
      <c r="J1989" s="452"/>
    </row>
    <row r="1990" spans="1:10" s="669" customFormat="1" ht="18.75">
      <c r="A1990" s="452">
        <v>2</v>
      </c>
      <c r="B1990" s="700" t="s">
        <v>4385</v>
      </c>
      <c r="C1990" s="816" t="s">
        <v>4379</v>
      </c>
      <c r="D1990" s="9">
        <v>4</v>
      </c>
      <c r="E1990" s="722"/>
      <c r="F1990" s="452"/>
      <c r="G1990" s="452"/>
      <c r="H1990" s="452"/>
      <c r="I1990" s="452"/>
      <c r="J1990" s="452"/>
    </row>
    <row r="1991" spans="1:10" s="669" customFormat="1" ht="18.75">
      <c r="A1991" s="452">
        <v>3</v>
      </c>
      <c r="B1991" s="700" t="s">
        <v>4377</v>
      </c>
      <c r="C1991" s="816" t="s">
        <v>4378</v>
      </c>
      <c r="D1991" s="9">
        <v>4</v>
      </c>
      <c r="E1991" s="722" t="s">
        <v>127</v>
      </c>
      <c r="F1991" s="452"/>
      <c r="G1991" s="452"/>
      <c r="H1991" s="452"/>
      <c r="I1991" s="452"/>
      <c r="J1991" s="452"/>
    </row>
    <row r="1992" spans="1:10" s="669" customFormat="1" ht="18.75">
      <c r="A1992" s="452">
        <v>4</v>
      </c>
      <c r="B1992" s="700" t="s">
        <v>4247</v>
      </c>
      <c r="C1992" s="816"/>
      <c r="D1992" s="9">
        <v>850</v>
      </c>
      <c r="E1992" s="722" t="s">
        <v>693</v>
      </c>
      <c r="F1992" s="452"/>
      <c r="G1992" s="452"/>
      <c r="H1992" s="452"/>
      <c r="I1992" s="452"/>
      <c r="J1992" s="452"/>
    </row>
    <row r="1993" spans="1:10" s="669" customFormat="1" ht="18.75">
      <c r="A1993" s="452">
        <v>5</v>
      </c>
      <c r="B1993" s="702" t="s">
        <v>4286</v>
      </c>
      <c r="C1993" s="98"/>
      <c r="D1993" s="9">
        <v>300</v>
      </c>
      <c r="E1993" s="818" t="s">
        <v>693</v>
      </c>
      <c r="F1993" s="452"/>
      <c r="G1993" s="452"/>
      <c r="H1993" s="452"/>
      <c r="I1993" s="452"/>
      <c r="J1993" s="452"/>
    </row>
    <row r="1994" spans="1:10" s="669" customFormat="1" ht="18.75">
      <c r="A1994" s="452">
        <v>6</v>
      </c>
      <c r="B1994" s="702" t="s">
        <v>4287</v>
      </c>
      <c r="C1994" s="98"/>
      <c r="D1994" s="9">
        <v>45</v>
      </c>
      <c r="E1994" s="818" t="s">
        <v>693</v>
      </c>
      <c r="F1994" s="452"/>
      <c r="G1994" s="452"/>
      <c r="H1994" s="452"/>
      <c r="I1994" s="452"/>
      <c r="J1994" s="452"/>
    </row>
    <row r="1995" spans="1:10" s="669" customFormat="1" ht="18.75">
      <c r="A1995" s="452">
        <v>7</v>
      </c>
      <c r="B1995" s="702" t="s">
        <v>4288</v>
      </c>
      <c r="C1995" s="98"/>
      <c r="D1995" s="9">
        <v>2716</v>
      </c>
      <c r="E1995" s="818" t="s">
        <v>693</v>
      </c>
      <c r="F1995" s="452"/>
      <c r="G1995" s="452"/>
      <c r="H1995" s="452"/>
      <c r="I1995" s="452"/>
      <c r="J1995" s="452"/>
    </row>
    <row r="1996" spans="1:10" s="669" customFormat="1" ht="18.75">
      <c r="A1996" s="452">
        <v>8</v>
      </c>
      <c r="B1996" s="702" t="s">
        <v>3147</v>
      </c>
      <c r="C1996" s="98" t="s">
        <v>615</v>
      </c>
      <c r="D1996" s="9">
        <v>299</v>
      </c>
      <c r="E1996" s="818" t="s">
        <v>693</v>
      </c>
      <c r="F1996" s="452"/>
      <c r="G1996" s="452"/>
      <c r="H1996" s="452"/>
      <c r="I1996" s="452"/>
      <c r="J1996" s="452"/>
    </row>
    <row r="1997" spans="1:10" s="669" customFormat="1" ht="18.75">
      <c r="A1997" s="452">
        <v>9</v>
      </c>
      <c r="B1997" s="702" t="s">
        <v>3208</v>
      </c>
      <c r="C1997" s="816"/>
      <c r="D1997" s="9">
        <v>60</v>
      </c>
      <c r="E1997" s="818" t="s">
        <v>693</v>
      </c>
      <c r="F1997" s="452"/>
      <c r="G1997" s="452"/>
      <c r="H1997" s="452"/>
      <c r="I1997" s="452"/>
      <c r="J1997" s="452"/>
    </row>
    <row r="1998" spans="1:10" s="669" customFormat="1" ht="18.75">
      <c r="A1998" s="452">
        <v>10</v>
      </c>
      <c r="B1998" s="700" t="s">
        <v>4296</v>
      </c>
      <c r="C1998" s="816"/>
      <c r="D1998" s="9">
        <v>15</v>
      </c>
      <c r="E1998" s="818" t="s">
        <v>693</v>
      </c>
      <c r="F1998" s="452"/>
      <c r="G1998" s="452"/>
      <c r="H1998" s="452"/>
      <c r="I1998" s="452"/>
      <c r="J1998" s="452"/>
    </row>
    <row r="1999" spans="1:10" s="669" customFormat="1" ht="56.25">
      <c r="A1999" s="452">
        <v>11</v>
      </c>
      <c r="B1999" s="720" t="s">
        <v>4433</v>
      </c>
      <c r="C1999" s="721" t="s">
        <v>4432</v>
      </c>
      <c r="D1999" s="9">
        <v>150</v>
      </c>
      <c r="E1999" s="722" t="s">
        <v>127</v>
      </c>
      <c r="F1999" s="452"/>
      <c r="G1999" s="452"/>
      <c r="H1999" s="452"/>
      <c r="I1999" s="452"/>
      <c r="J1999" s="452"/>
    </row>
    <row r="2000" spans="1:10" s="669" customFormat="1" ht="18.75">
      <c r="A2000" s="452">
        <v>12</v>
      </c>
      <c r="B2000" s="702" t="s">
        <v>627</v>
      </c>
      <c r="C2000" s="98" t="s">
        <v>4352</v>
      </c>
      <c r="D2000" s="9">
        <v>1004</v>
      </c>
      <c r="E2000" s="818" t="s">
        <v>693</v>
      </c>
      <c r="F2000" s="452"/>
      <c r="G2000" s="452"/>
      <c r="H2000" s="452"/>
      <c r="I2000" s="452"/>
      <c r="J2000" s="452"/>
    </row>
    <row r="2001" spans="1:10" s="669" customFormat="1" ht="18.75">
      <c r="A2001" s="452">
        <v>13</v>
      </c>
      <c r="B2001" s="700" t="s">
        <v>4311</v>
      </c>
      <c r="C2001" s="816"/>
      <c r="D2001" s="9">
        <v>35</v>
      </c>
      <c r="E2001" s="818" t="s">
        <v>286</v>
      </c>
      <c r="F2001" s="452"/>
      <c r="G2001" s="452"/>
      <c r="H2001" s="452"/>
      <c r="I2001" s="452"/>
      <c r="J2001" s="452"/>
    </row>
    <row r="2002" spans="1:10" s="669" customFormat="1" ht="18.75">
      <c r="A2002" s="452">
        <v>14</v>
      </c>
      <c r="B2002" s="702" t="s">
        <v>4302</v>
      </c>
      <c r="C2002" s="816"/>
      <c r="D2002" s="9">
        <v>35</v>
      </c>
      <c r="E2002" s="818" t="s">
        <v>286</v>
      </c>
      <c r="F2002" s="452"/>
      <c r="G2002" s="452"/>
      <c r="H2002" s="452"/>
      <c r="I2002" s="452"/>
      <c r="J2002" s="452"/>
    </row>
    <row r="2003" spans="1:10" s="669" customFormat="1" ht="56.25">
      <c r="A2003" s="452">
        <v>15</v>
      </c>
      <c r="B2003" s="702" t="s">
        <v>4266</v>
      </c>
      <c r="C2003" s="721" t="s">
        <v>4434</v>
      </c>
      <c r="D2003" s="9">
        <v>153</v>
      </c>
      <c r="E2003" s="818" t="s">
        <v>4267</v>
      </c>
      <c r="F2003" s="452"/>
      <c r="G2003" s="452"/>
      <c r="H2003" s="452"/>
      <c r="I2003" s="452"/>
      <c r="J2003" s="452"/>
    </row>
    <row r="2004" spans="1:10" s="669" customFormat="1" ht="18.75">
      <c r="A2004" s="452">
        <v>16</v>
      </c>
      <c r="B2004" s="702" t="s">
        <v>4256</v>
      </c>
      <c r="C2004" s="721" t="s">
        <v>4395</v>
      </c>
      <c r="D2004" s="9">
        <v>150</v>
      </c>
      <c r="E2004" s="818" t="s">
        <v>286</v>
      </c>
      <c r="F2004" s="452"/>
      <c r="G2004" s="452"/>
      <c r="H2004" s="452"/>
      <c r="I2004" s="452"/>
      <c r="J2004" s="452"/>
    </row>
    <row r="2005" spans="1:10" s="669" customFormat="1" ht="18.75">
      <c r="A2005" s="452">
        <v>17</v>
      </c>
      <c r="B2005" s="702" t="s">
        <v>4333</v>
      </c>
      <c r="C2005" s="816"/>
      <c r="D2005" s="9">
        <v>870</v>
      </c>
      <c r="E2005" s="818" t="s">
        <v>286</v>
      </c>
      <c r="F2005" s="452"/>
      <c r="G2005" s="452"/>
      <c r="H2005" s="452"/>
      <c r="I2005" s="452"/>
      <c r="J2005" s="452"/>
    </row>
    <row r="2006" spans="1:10" s="669" customFormat="1" ht="18.75">
      <c r="A2006" s="452">
        <v>18</v>
      </c>
      <c r="B2006" s="702" t="s">
        <v>641</v>
      </c>
      <c r="C2006" s="816"/>
      <c r="D2006" s="9">
        <v>580</v>
      </c>
      <c r="E2006" s="818" t="s">
        <v>286</v>
      </c>
      <c r="F2006" s="452"/>
      <c r="G2006" s="452"/>
      <c r="H2006" s="452"/>
      <c r="I2006" s="452"/>
      <c r="J2006" s="452"/>
    </row>
    <row r="2007" spans="1:10" s="669" customFormat="1" ht="18.75">
      <c r="A2007" s="452">
        <v>19</v>
      </c>
      <c r="B2007" s="702" t="s">
        <v>4372</v>
      </c>
      <c r="C2007" s="816"/>
      <c r="D2007" s="9">
        <v>200</v>
      </c>
      <c r="E2007" s="818" t="s">
        <v>286</v>
      </c>
      <c r="F2007" s="452"/>
      <c r="G2007" s="452"/>
      <c r="H2007" s="452"/>
      <c r="I2007" s="452"/>
      <c r="J2007" s="452"/>
    </row>
    <row r="2008" spans="1:10" s="669" customFormat="1" ht="18.75">
      <c r="A2008" s="452">
        <v>20</v>
      </c>
      <c r="B2008" s="702" t="s">
        <v>4371</v>
      </c>
      <c r="C2008" s="816"/>
      <c r="D2008" s="9">
        <v>200</v>
      </c>
      <c r="E2008" s="818" t="s">
        <v>286</v>
      </c>
      <c r="F2008" s="452"/>
      <c r="G2008" s="452"/>
      <c r="H2008" s="452"/>
      <c r="I2008" s="452"/>
      <c r="J2008" s="452"/>
    </row>
    <row r="2009" spans="1:10" s="669" customFormat="1" ht="56.25">
      <c r="A2009" s="452">
        <v>21</v>
      </c>
      <c r="B2009" s="702" t="s">
        <v>4332</v>
      </c>
      <c r="C2009" s="723" t="s">
        <v>4392</v>
      </c>
      <c r="D2009" s="9">
        <v>1810</v>
      </c>
      <c r="E2009" s="818" t="s">
        <v>286</v>
      </c>
      <c r="F2009" s="452"/>
      <c r="G2009" s="452"/>
      <c r="H2009" s="452"/>
      <c r="I2009" s="452"/>
      <c r="J2009" s="452"/>
    </row>
    <row r="2010" spans="1:10" s="669" customFormat="1" ht="18.75">
      <c r="A2010" s="452">
        <v>22</v>
      </c>
      <c r="B2010" s="702" t="s">
        <v>4334</v>
      </c>
      <c r="C2010" s="816"/>
      <c r="D2010" s="9">
        <v>140</v>
      </c>
      <c r="E2010" s="818" t="s">
        <v>693</v>
      </c>
      <c r="F2010" s="452"/>
      <c r="G2010" s="452"/>
      <c r="H2010" s="452"/>
      <c r="I2010" s="452"/>
      <c r="J2010" s="452"/>
    </row>
    <row r="2011" spans="1:10" s="669" customFormat="1" ht="18.75">
      <c r="A2011" s="452">
        <v>23</v>
      </c>
      <c r="B2011" s="702" t="s">
        <v>4273</v>
      </c>
      <c r="C2011" s="816"/>
      <c r="D2011" s="9">
        <v>80</v>
      </c>
      <c r="E2011" s="818" t="s">
        <v>693</v>
      </c>
      <c r="F2011" s="452"/>
      <c r="G2011" s="452"/>
      <c r="H2011" s="452"/>
      <c r="I2011" s="452"/>
      <c r="J2011" s="452"/>
    </row>
    <row r="2012" spans="1:10" s="669" customFormat="1" ht="18.75">
      <c r="A2012" s="452">
        <v>24</v>
      </c>
      <c r="B2012" s="702" t="s">
        <v>4314</v>
      </c>
      <c r="C2012" s="816"/>
      <c r="D2012" s="9">
        <v>70</v>
      </c>
      <c r="E2012" s="818" t="s">
        <v>286</v>
      </c>
      <c r="F2012" s="452"/>
      <c r="G2012" s="452"/>
      <c r="H2012" s="452"/>
      <c r="I2012" s="452"/>
      <c r="J2012" s="452"/>
    </row>
    <row r="2013" spans="1:10" s="669" customFormat="1" ht="18.75">
      <c r="A2013" s="452">
        <v>25</v>
      </c>
      <c r="B2013" s="702" t="s">
        <v>4274</v>
      </c>
      <c r="C2013" s="816"/>
      <c r="D2013" s="9">
        <v>70</v>
      </c>
      <c r="E2013" s="818" t="s">
        <v>693</v>
      </c>
      <c r="F2013" s="452"/>
      <c r="G2013" s="452"/>
      <c r="H2013" s="452"/>
      <c r="I2013" s="452"/>
      <c r="J2013" s="452"/>
    </row>
    <row r="2014" spans="1:10" s="669" customFormat="1" ht="18.75">
      <c r="A2014" s="452">
        <v>26</v>
      </c>
      <c r="B2014" s="702" t="s">
        <v>4275</v>
      </c>
      <c r="C2014" s="816"/>
      <c r="D2014" s="9">
        <v>80</v>
      </c>
      <c r="E2014" s="818" t="s">
        <v>693</v>
      </c>
      <c r="F2014" s="452"/>
      <c r="G2014" s="452"/>
      <c r="H2014" s="452"/>
      <c r="I2014" s="452"/>
      <c r="J2014" s="452"/>
    </row>
    <row r="2015" spans="1:10" s="669" customFormat="1" ht="18.75">
      <c r="A2015" s="452">
        <v>27</v>
      </c>
      <c r="B2015" s="702" t="s">
        <v>4276</v>
      </c>
      <c r="C2015" s="816"/>
      <c r="D2015" s="9">
        <v>70</v>
      </c>
      <c r="E2015" s="818" t="s">
        <v>693</v>
      </c>
      <c r="F2015" s="452"/>
      <c r="G2015" s="452"/>
      <c r="H2015" s="452"/>
      <c r="I2015" s="452"/>
      <c r="J2015" s="452"/>
    </row>
    <row r="2016" spans="1:10" s="669" customFormat="1" ht="18.75">
      <c r="A2016" s="452">
        <v>28</v>
      </c>
      <c r="B2016" s="702" t="s">
        <v>4277</v>
      </c>
      <c r="C2016" s="816"/>
      <c r="D2016" s="9">
        <v>70</v>
      </c>
      <c r="E2016" s="818" t="s">
        <v>693</v>
      </c>
      <c r="F2016" s="452"/>
      <c r="G2016" s="452"/>
      <c r="H2016" s="452"/>
      <c r="I2016" s="452"/>
      <c r="J2016" s="452"/>
    </row>
    <row r="2017" spans="1:10" s="669" customFormat="1" ht="18.75">
      <c r="A2017" s="452">
        <v>29</v>
      </c>
      <c r="B2017" s="702" t="s">
        <v>4278</v>
      </c>
      <c r="C2017" s="816"/>
      <c r="D2017" s="9">
        <v>70</v>
      </c>
      <c r="E2017" s="818" t="s">
        <v>693</v>
      </c>
      <c r="F2017" s="452"/>
      <c r="G2017" s="452"/>
      <c r="H2017" s="452"/>
      <c r="I2017" s="452"/>
      <c r="J2017" s="452"/>
    </row>
    <row r="2018" spans="1:10" s="669" customFormat="1" ht="112.5">
      <c r="A2018" s="452">
        <v>30</v>
      </c>
      <c r="B2018" s="720" t="s">
        <v>4393</v>
      </c>
      <c r="C2018" s="721" t="s">
        <v>4394</v>
      </c>
      <c r="D2018" s="9">
        <v>30</v>
      </c>
      <c r="E2018" s="818" t="s">
        <v>286</v>
      </c>
      <c r="F2018" s="452"/>
      <c r="G2018" s="452"/>
      <c r="H2018" s="452"/>
      <c r="I2018" s="452"/>
      <c r="J2018" s="452"/>
    </row>
    <row r="2019" spans="1:10" s="669" customFormat="1" ht="18.75">
      <c r="A2019" s="452">
        <v>31</v>
      </c>
      <c r="B2019" s="702" t="s">
        <v>696</v>
      </c>
      <c r="C2019" s="816"/>
      <c r="D2019" s="9">
        <v>10</v>
      </c>
      <c r="E2019" s="818" t="s">
        <v>693</v>
      </c>
      <c r="F2019" s="452"/>
      <c r="G2019" s="452"/>
      <c r="H2019" s="452"/>
      <c r="I2019" s="452"/>
      <c r="J2019" s="452"/>
    </row>
    <row r="2020" spans="1:10" s="669" customFormat="1" ht="18.75">
      <c r="A2020" s="452">
        <v>32</v>
      </c>
      <c r="B2020" s="702" t="s">
        <v>4264</v>
      </c>
      <c r="C2020" s="724" t="s">
        <v>4264</v>
      </c>
      <c r="D2020" s="9">
        <v>70</v>
      </c>
      <c r="E2020" s="818" t="s">
        <v>693</v>
      </c>
      <c r="F2020" s="452"/>
      <c r="G2020" s="452"/>
      <c r="H2020" s="452"/>
      <c r="I2020" s="452"/>
      <c r="J2020" s="452"/>
    </row>
    <row r="2021" spans="1:10" s="669" customFormat="1" ht="18.75">
      <c r="A2021" s="452">
        <v>33</v>
      </c>
      <c r="B2021" s="702" t="s">
        <v>4263</v>
      </c>
      <c r="C2021" s="721" t="s">
        <v>4397</v>
      </c>
      <c r="D2021" s="9">
        <v>180</v>
      </c>
      <c r="E2021" s="818" t="s">
        <v>693</v>
      </c>
      <c r="F2021" s="452"/>
      <c r="G2021" s="452"/>
      <c r="H2021" s="452"/>
      <c r="I2021" s="452"/>
      <c r="J2021" s="452"/>
    </row>
    <row r="2022" spans="1:10" s="669" customFormat="1" ht="18.75">
      <c r="A2022" s="452">
        <v>34</v>
      </c>
      <c r="B2022" s="702" t="s">
        <v>741</v>
      </c>
      <c r="C2022" s="721"/>
      <c r="D2022" s="9">
        <v>850</v>
      </c>
      <c r="E2022" s="818" t="s">
        <v>693</v>
      </c>
      <c r="F2022" s="452"/>
      <c r="G2022" s="452"/>
      <c r="H2022" s="452"/>
      <c r="I2022" s="452"/>
      <c r="J2022" s="452"/>
    </row>
    <row r="2023" spans="1:10" s="669" customFormat="1" ht="18.75">
      <c r="A2023" s="452">
        <v>35</v>
      </c>
      <c r="B2023" s="702" t="s">
        <v>701</v>
      </c>
      <c r="C2023" s="724" t="s">
        <v>701</v>
      </c>
      <c r="D2023" s="9">
        <v>80</v>
      </c>
      <c r="E2023" s="818" t="s">
        <v>693</v>
      </c>
      <c r="F2023" s="452"/>
      <c r="G2023" s="452"/>
      <c r="H2023" s="452"/>
      <c r="I2023" s="452"/>
      <c r="J2023" s="452"/>
    </row>
    <row r="2024" spans="1:10" s="669" customFormat="1" ht="18.75">
      <c r="A2024" s="452">
        <v>36</v>
      </c>
      <c r="B2024" s="702" t="s">
        <v>4265</v>
      </c>
      <c r="C2024" s="721" t="s">
        <v>4398</v>
      </c>
      <c r="D2024" s="9">
        <v>480</v>
      </c>
      <c r="E2024" s="818" t="s">
        <v>286</v>
      </c>
      <c r="F2024" s="452"/>
      <c r="G2024" s="452"/>
      <c r="H2024" s="452"/>
      <c r="I2024" s="452"/>
      <c r="J2024" s="452"/>
    </row>
    <row r="2025" spans="1:10" s="669" customFormat="1" ht="18.75">
      <c r="A2025" s="452">
        <v>37</v>
      </c>
      <c r="B2025" s="702" t="s">
        <v>4380</v>
      </c>
      <c r="C2025" s="714" t="s">
        <v>648</v>
      </c>
      <c r="D2025" s="9">
        <v>300</v>
      </c>
      <c r="E2025" s="818" t="s">
        <v>286</v>
      </c>
      <c r="F2025" s="452"/>
      <c r="G2025" s="452"/>
      <c r="H2025" s="452"/>
      <c r="I2025" s="452"/>
      <c r="J2025" s="452"/>
    </row>
    <row r="2026" spans="1:10" s="669" customFormat="1" ht="18.75">
      <c r="A2026" s="452">
        <v>38</v>
      </c>
      <c r="B2026" s="702" t="s">
        <v>4366</v>
      </c>
      <c r="C2026" s="714" t="s">
        <v>650</v>
      </c>
      <c r="D2026" s="9">
        <v>100</v>
      </c>
      <c r="E2026" s="818" t="s">
        <v>693</v>
      </c>
      <c r="F2026" s="452"/>
      <c r="G2026" s="452"/>
      <c r="H2026" s="452"/>
      <c r="I2026" s="452"/>
      <c r="J2026" s="452"/>
    </row>
    <row r="2027" spans="1:10" s="669" customFormat="1" ht="18.75">
      <c r="A2027" s="452">
        <v>39</v>
      </c>
      <c r="B2027" s="702" t="s">
        <v>4257</v>
      </c>
      <c r="C2027" s="721" t="s">
        <v>4396</v>
      </c>
      <c r="D2027" s="9">
        <v>90</v>
      </c>
      <c r="E2027" s="818" t="s">
        <v>693</v>
      </c>
      <c r="F2027" s="452"/>
      <c r="G2027" s="452"/>
      <c r="H2027" s="452"/>
      <c r="I2027" s="452"/>
      <c r="J2027" s="452"/>
    </row>
    <row r="2028" spans="1:10" s="669" customFormat="1" ht="18.75">
      <c r="A2028" s="452">
        <v>40</v>
      </c>
      <c r="B2028" s="702" t="s">
        <v>3144</v>
      </c>
      <c r="C2028" s="816"/>
      <c r="D2028" s="9">
        <v>176</v>
      </c>
      <c r="E2028" s="818" t="s">
        <v>286</v>
      </c>
      <c r="F2028" s="452"/>
      <c r="G2028" s="452"/>
      <c r="H2028" s="452"/>
      <c r="I2028" s="452"/>
      <c r="J2028" s="452"/>
    </row>
    <row r="2029" spans="1:10" s="669" customFormat="1" ht="37.5">
      <c r="A2029" s="452">
        <v>41</v>
      </c>
      <c r="B2029" s="702" t="s">
        <v>4253</v>
      </c>
      <c r="C2029" s="721" t="s">
        <v>4399</v>
      </c>
      <c r="D2029" s="9">
        <v>500</v>
      </c>
      <c r="E2029" s="818" t="s">
        <v>286</v>
      </c>
      <c r="F2029" s="452"/>
      <c r="G2029" s="452"/>
      <c r="H2029" s="452"/>
      <c r="I2029" s="452"/>
      <c r="J2029" s="452"/>
    </row>
    <row r="2030" spans="1:10" s="669" customFormat="1" ht="37.5">
      <c r="A2030" s="452">
        <v>42</v>
      </c>
      <c r="B2030" s="702" t="s">
        <v>3093</v>
      </c>
      <c r="C2030" s="714" t="s">
        <v>4370</v>
      </c>
      <c r="D2030" s="9">
        <v>130</v>
      </c>
      <c r="E2030" s="818" t="s">
        <v>286</v>
      </c>
      <c r="F2030" s="452"/>
      <c r="G2030" s="452"/>
      <c r="H2030" s="452"/>
      <c r="I2030" s="452"/>
      <c r="J2030" s="452"/>
    </row>
    <row r="2031" spans="1:10" s="669" customFormat="1" ht="18.75">
      <c r="A2031" s="452">
        <v>43</v>
      </c>
      <c r="B2031" s="702" t="s">
        <v>4254</v>
      </c>
      <c r="C2031" s="98"/>
      <c r="D2031" s="9">
        <v>430</v>
      </c>
      <c r="E2031" s="818" t="s">
        <v>286</v>
      </c>
      <c r="F2031" s="452"/>
      <c r="G2031" s="452"/>
      <c r="H2031" s="452"/>
      <c r="I2031" s="452"/>
      <c r="J2031" s="452"/>
    </row>
    <row r="2032" spans="1:10" s="669" customFormat="1" ht="18.75">
      <c r="A2032" s="452">
        <v>44</v>
      </c>
      <c r="B2032" s="702" t="s">
        <v>4315</v>
      </c>
      <c r="C2032" s="98"/>
      <c r="D2032" s="9">
        <v>480</v>
      </c>
      <c r="E2032" s="818" t="s">
        <v>286</v>
      </c>
      <c r="F2032" s="452"/>
      <c r="G2032" s="452"/>
      <c r="H2032" s="452"/>
      <c r="I2032" s="452"/>
      <c r="J2032" s="452"/>
    </row>
    <row r="2033" spans="1:10" s="669" customFormat="1" ht="18.75">
      <c r="A2033" s="452">
        <v>45</v>
      </c>
      <c r="B2033" s="702" t="s">
        <v>4255</v>
      </c>
      <c r="C2033" s="816"/>
      <c r="D2033" s="9">
        <v>140</v>
      </c>
      <c r="E2033" s="818" t="s">
        <v>286</v>
      </c>
      <c r="F2033" s="452"/>
      <c r="G2033" s="452"/>
      <c r="H2033" s="452"/>
      <c r="I2033" s="452"/>
      <c r="J2033" s="452"/>
    </row>
    <row r="2034" spans="1:10" s="669" customFormat="1" ht="75">
      <c r="A2034" s="452">
        <v>46</v>
      </c>
      <c r="B2034" s="725" t="s">
        <v>4401</v>
      </c>
      <c r="C2034" s="723" t="s">
        <v>4400</v>
      </c>
      <c r="D2034" s="9">
        <v>325</v>
      </c>
      <c r="E2034" s="818" t="s">
        <v>286</v>
      </c>
      <c r="F2034" s="452"/>
      <c r="G2034" s="452"/>
      <c r="H2034" s="452"/>
      <c r="I2034" s="452"/>
      <c r="J2034" s="452"/>
    </row>
    <row r="2035" spans="1:10" s="669" customFormat="1" ht="18.75">
      <c r="A2035" s="452">
        <v>47</v>
      </c>
      <c r="B2035" s="702" t="s">
        <v>4330</v>
      </c>
      <c r="C2035" s="98"/>
      <c r="D2035" s="9">
        <v>190</v>
      </c>
      <c r="E2035" s="818" t="s">
        <v>286</v>
      </c>
      <c r="F2035" s="452"/>
      <c r="G2035" s="452"/>
      <c r="H2035" s="452"/>
      <c r="I2035" s="452"/>
      <c r="J2035" s="452"/>
    </row>
    <row r="2036" spans="1:10" s="669" customFormat="1" ht="37.5">
      <c r="A2036" s="452">
        <v>48</v>
      </c>
      <c r="B2036" s="702" t="s">
        <v>4345</v>
      </c>
      <c r="C2036" s="98" t="s">
        <v>4346</v>
      </c>
      <c r="D2036" s="9">
        <v>100</v>
      </c>
      <c r="E2036" s="818" t="s">
        <v>4369</v>
      </c>
      <c r="F2036" s="452"/>
      <c r="G2036" s="452"/>
      <c r="H2036" s="452"/>
      <c r="I2036" s="452"/>
      <c r="J2036" s="452"/>
    </row>
    <row r="2037" spans="1:10" s="669" customFormat="1" ht="75">
      <c r="A2037" s="452">
        <v>49</v>
      </c>
      <c r="B2037" s="702" t="s">
        <v>4343</v>
      </c>
      <c r="C2037" s="98" t="s">
        <v>4344</v>
      </c>
      <c r="D2037" s="9">
        <v>124</v>
      </c>
      <c r="E2037" s="818" t="s">
        <v>4369</v>
      </c>
      <c r="F2037" s="452"/>
      <c r="G2037" s="452"/>
      <c r="H2037" s="452"/>
      <c r="I2037" s="452"/>
      <c r="J2037" s="452"/>
    </row>
    <row r="2038" spans="1:10" s="669" customFormat="1" ht="18.75">
      <c r="A2038" s="452">
        <v>50</v>
      </c>
      <c r="B2038" s="702" t="s">
        <v>4298</v>
      </c>
      <c r="C2038" s="98"/>
      <c r="D2038" s="9">
        <v>40</v>
      </c>
      <c r="E2038" s="818" t="s">
        <v>693</v>
      </c>
      <c r="F2038" s="452"/>
      <c r="G2038" s="452"/>
      <c r="H2038" s="452"/>
      <c r="I2038" s="452"/>
      <c r="J2038" s="452"/>
    </row>
    <row r="2039" spans="1:10" s="669" customFormat="1" ht="18.75">
      <c r="A2039" s="452">
        <v>51</v>
      </c>
      <c r="B2039" s="702" t="s">
        <v>4326</v>
      </c>
      <c r="C2039" s="816"/>
      <c r="D2039" s="9">
        <v>75</v>
      </c>
      <c r="E2039" s="818" t="s">
        <v>286</v>
      </c>
      <c r="F2039" s="452"/>
      <c r="G2039" s="452"/>
      <c r="H2039" s="452"/>
      <c r="I2039" s="452"/>
      <c r="J2039" s="452"/>
    </row>
    <row r="2040" spans="1:10" s="669" customFormat="1" ht="93.75">
      <c r="A2040" s="452">
        <v>52</v>
      </c>
      <c r="B2040" s="702" t="s">
        <v>4347</v>
      </c>
      <c r="C2040" s="98" t="s">
        <v>4348</v>
      </c>
      <c r="D2040" s="9">
        <v>10</v>
      </c>
      <c r="E2040" s="818" t="s">
        <v>286</v>
      </c>
      <c r="F2040" s="452"/>
      <c r="G2040" s="452"/>
      <c r="H2040" s="452"/>
      <c r="I2040" s="452"/>
      <c r="J2040" s="452"/>
    </row>
    <row r="2041" spans="1:10" s="669" customFormat="1" ht="18.75">
      <c r="A2041" s="452">
        <v>53</v>
      </c>
      <c r="B2041" s="702" t="s">
        <v>4328</v>
      </c>
      <c r="C2041" s="816"/>
      <c r="D2041" s="9">
        <v>50</v>
      </c>
      <c r="E2041" s="818" t="s">
        <v>286</v>
      </c>
      <c r="F2041" s="452"/>
      <c r="G2041" s="452"/>
      <c r="H2041" s="452"/>
      <c r="I2041" s="452"/>
      <c r="J2041" s="452"/>
    </row>
    <row r="2042" spans="1:10" s="669" customFormat="1" ht="56.25">
      <c r="A2042" s="452">
        <v>54</v>
      </c>
      <c r="B2042" s="726" t="s">
        <v>4436</v>
      </c>
      <c r="C2042" s="721" t="s">
        <v>4435</v>
      </c>
      <c r="D2042" s="9">
        <v>90</v>
      </c>
      <c r="E2042" s="815" t="s">
        <v>2163</v>
      </c>
      <c r="F2042" s="452"/>
      <c r="G2042" s="452"/>
      <c r="H2042" s="452"/>
      <c r="I2042" s="452"/>
      <c r="J2042" s="452"/>
    </row>
    <row r="2043" spans="1:10" s="669" customFormat="1" ht="18.75">
      <c r="A2043" s="452">
        <v>55</v>
      </c>
      <c r="B2043" s="702" t="s">
        <v>4272</v>
      </c>
      <c r="C2043" s="816"/>
      <c r="D2043" s="9">
        <v>40</v>
      </c>
      <c r="E2043" s="818" t="s">
        <v>286</v>
      </c>
      <c r="F2043" s="452"/>
      <c r="G2043" s="452"/>
      <c r="H2043" s="452"/>
      <c r="I2043" s="452"/>
      <c r="J2043" s="452"/>
    </row>
    <row r="2044" spans="1:10" s="669" customFormat="1" ht="18.75">
      <c r="A2044" s="452">
        <v>56</v>
      </c>
      <c r="B2044" s="702" t="s">
        <v>4382</v>
      </c>
      <c r="C2044" s="816"/>
      <c r="D2044" s="9">
        <v>10</v>
      </c>
      <c r="E2044" s="818" t="s">
        <v>286</v>
      </c>
      <c r="F2044" s="452"/>
      <c r="G2044" s="452"/>
      <c r="H2044" s="452"/>
      <c r="I2044" s="452"/>
      <c r="J2044" s="452"/>
    </row>
    <row r="2045" spans="1:10" s="669" customFormat="1" ht="18.75">
      <c r="A2045" s="452">
        <v>57</v>
      </c>
      <c r="B2045" s="702" t="s">
        <v>4383</v>
      </c>
      <c r="C2045" s="816"/>
      <c r="D2045" s="9">
        <v>180</v>
      </c>
      <c r="E2045" s="818" t="s">
        <v>286</v>
      </c>
      <c r="F2045" s="452"/>
      <c r="G2045" s="452"/>
      <c r="H2045" s="452"/>
      <c r="I2045" s="452"/>
      <c r="J2045" s="452"/>
    </row>
    <row r="2046" spans="1:10" s="669" customFormat="1" ht="18.75">
      <c r="A2046" s="452">
        <v>58</v>
      </c>
      <c r="B2046" s="702" t="s">
        <v>4384</v>
      </c>
      <c r="C2046" s="816"/>
      <c r="D2046" s="9">
        <v>10</v>
      </c>
      <c r="E2046" s="818" t="s">
        <v>286</v>
      </c>
      <c r="F2046" s="452"/>
      <c r="G2046" s="452"/>
      <c r="H2046" s="452"/>
      <c r="I2046" s="452"/>
      <c r="J2046" s="452"/>
    </row>
    <row r="2047" spans="1:10" s="669" customFormat="1" ht="18.75">
      <c r="A2047" s="452">
        <v>59</v>
      </c>
      <c r="B2047" s="702" t="s">
        <v>4279</v>
      </c>
      <c r="C2047" s="816"/>
      <c r="D2047" s="9">
        <v>50</v>
      </c>
      <c r="E2047" s="818" t="s">
        <v>286</v>
      </c>
      <c r="F2047" s="452"/>
      <c r="G2047" s="452"/>
      <c r="H2047" s="452"/>
      <c r="I2047" s="452"/>
      <c r="J2047" s="452"/>
    </row>
    <row r="2048" spans="1:10" s="669" customFormat="1" ht="18.75">
      <c r="A2048" s="452">
        <v>60</v>
      </c>
      <c r="B2048" s="702" t="s">
        <v>4281</v>
      </c>
      <c r="C2048" s="816"/>
      <c r="D2048" s="9">
        <v>100</v>
      </c>
      <c r="E2048" s="818" t="s">
        <v>286</v>
      </c>
      <c r="F2048" s="452"/>
      <c r="G2048" s="452"/>
      <c r="H2048" s="452"/>
      <c r="I2048" s="452"/>
      <c r="J2048" s="452"/>
    </row>
    <row r="2049" spans="1:10" s="669" customFormat="1" ht="18.75">
      <c r="A2049" s="452">
        <v>61</v>
      </c>
      <c r="B2049" s="711" t="s">
        <v>4374</v>
      </c>
      <c r="C2049" s="98" t="s">
        <v>643</v>
      </c>
      <c r="D2049" s="9">
        <v>4700</v>
      </c>
      <c r="E2049" s="818" t="s">
        <v>286</v>
      </c>
      <c r="F2049" s="452"/>
      <c r="G2049" s="452"/>
      <c r="H2049" s="452"/>
      <c r="I2049" s="452"/>
      <c r="J2049" s="452"/>
    </row>
    <row r="2050" spans="1:10" s="669" customFormat="1" ht="18.75">
      <c r="A2050" s="452">
        <v>62</v>
      </c>
      <c r="B2050" s="702" t="s">
        <v>4269</v>
      </c>
      <c r="C2050" s="816"/>
      <c r="D2050" s="9">
        <v>10</v>
      </c>
      <c r="E2050" s="818" t="s">
        <v>693</v>
      </c>
      <c r="F2050" s="452"/>
      <c r="G2050" s="452"/>
      <c r="H2050" s="452"/>
      <c r="I2050" s="452"/>
      <c r="J2050" s="452"/>
    </row>
    <row r="2051" spans="1:10" s="669" customFormat="1" ht="75">
      <c r="A2051" s="452">
        <v>63</v>
      </c>
      <c r="B2051" s="702" t="s">
        <v>4270</v>
      </c>
      <c r="C2051" s="721" t="s">
        <v>4402</v>
      </c>
      <c r="D2051" s="9">
        <v>11010</v>
      </c>
      <c r="E2051" s="818" t="s">
        <v>286</v>
      </c>
      <c r="F2051" s="452"/>
      <c r="G2051" s="452"/>
      <c r="H2051" s="452"/>
      <c r="I2051" s="452"/>
      <c r="J2051" s="452"/>
    </row>
    <row r="2052" spans="1:10" s="669" customFormat="1" ht="75">
      <c r="A2052" s="452">
        <v>64</v>
      </c>
      <c r="B2052" s="720" t="s">
        <v>4406</v>
      </c>
      <c r="C2052" s="721" t="s">
        <v>4405</v>
      </c>
      <c r="D2052" s="9">
        <v>8000</v>
      </c>
      <c r="E2052" s="818" t="s">
        <v>286</v>
      </c>
      <c r="F2052" s="452"/>
      <c r="G2052" s="452"/>
      <c r="H2052" s="452"/>
      <c r="I2052" s="452"/>
      <c r="J2052" s="452"/>
    </row>
    <row r="2053" spans="1:10" s="669" customFormat="1" ht="75">
      <c r="A2053" s="452">
        <v>65</v>
      </c>
      <c r="B2053" s="720" t="s">
        <v>4404</v>
      </c>
      <c r="C2053" s="721" t="s">
        <v>4403</v>
      </c>
      <c r="D2053" s="9">
        <v>8000</v>
      </c>
      <c r="E2053" s="818" t="s">
        <v>286</v>
      </c>
      <c r="F2053" s="452"/>
      <c r="G2053" s="452"/>
      <c r="H2053" s="452"/>
      <c r="I2053" s="452"/>
      <c r="J2053" s="452"/>
    </row>
    <row r="2054" spans="1:10" s="669" customFormat="1" ht="18.75">
      <c r="A2054" s="452">
        <v>66</v>
      </c>
      <c r="B2054" s="702" t="s">
        <v>745</v>
      </c>
      <c r="C2054" s="721"/>
      <c r="D2054" s="9">
        <v>2625</v>
      </c>
      <c r="E2054" s="818" t="s">
        <v>286</v>
      </c>
      <c r="F2054" s="452"/>
      <c r="G2054" s="452"/>
      <c r="H2054" s="452"/>
      <c r="I2054" s="452"/>
      <c r="J2054" s="452"/>
    </row>
    <row r="2055" spans="1:10" s="669" customFormat="1" ht="18.75">
      <c r="A2055" s="452">
        <v>67</v>
      </c>
      <c r="B2055" s="702" t="s">
        <v>4271</v>
      </c>
      <c r="C2055" s="816"/>
      <c r="D2055" s="9">
        <v>10</v>
      </c>
      <c r="E2055" s="818" t="s">
        <v>286</v>
      </c>
      <c r="F2055" s="452"/>
      <c r="G2055" s="452"/>
      <c r="H2055" s="452"/>
      <c r="I2055" s="452"/>
      <c r="J2055" s="452"/>
    </row>
    <row r="2056" spans="1:10" s="669" customFormat="1" ht="37.5">
      <c r="A2056" s="452">
        <v>68</v>
      </c>
      <c r="B2056" s="702" t="s">
        <v>4324</v>
      </c>
      <c r="C2056" s="816"/>
      <c r="D2056" s="9">
        <v>60</v>
      </c>
      <c r="E2056" s="818" t="s">
        <v>693</v>
      </c>
      <c r="F2056" s="452"/>
      <c r="G2056" s="452"/>
      <c r="H2056" s="452"/>
      <c r="I2056" s="452"/>
      <c r="J2056" s="452"/>
    </row>
    <row r="2057" spans="1:10" s="669" customFormat="1" ht="18.75">
      <c r="A2057" s="452">
        <v>69</v>
      </c>
      <c r="B2057" s="702" t="s">
        <v>4282</v>
      </c>
      <c r="C2057" s="816"/>
      <c r="D2057" s="9">
        <v>110</v>
      </c>
      <c r="E2057" s="818" t="s">
        <v>286</v>
      </c>
      <c r="F2057" s="452"/>
      <c r="G2057" s="452"/>
      <c r="H2057" s="452"/>
      <c r="I2057" s="452"/>
      <c r="J2057" s="452"/>
    </row>
    <row r="2058" spans="1:10" s="669" customFormat="1" ht="18.75">
      <c r="A2058" s="452">
        <v>70</v>
      </c>
      <c r="B2058" s="702" t="s">
        <v>4280</v>
      </c>
      <c r="C2058" s="816"/>
      <c r="D2058" s="9">
        <v>95</v>
      </c>
      <c r="E2058" s="818" t="s">
        <v>286</v>
      </c>
      <c r="F2058" s="452"/>
      <c r="G2058" s="452"/>
      <c r="H2058" s="452"/>
      <c r="I2058" s="452"/>
      <c r="J2058" s="452"/>
    </row>
    <row r="2059" spans="1:10" s="669" customFormat="1" ht="18.75">
      <c r="A2059" s="452">
        <v>71</v>
      </c>
      <c r="B2059" s="700" t="s">
        <v>4306</v>
      </c>
      <c r="C2059" s="816"/>
      <c r="D2059" s="9">
        <v>80</v>
      </c>
      <c r="E2059" s="818" t="s">
        <v>286</v>
      </c>
      <c r="F2059" s="452"/>
      <c r="G2059" s="452"/>
      <c r="H2059" s="452"/>
      <c r="I2059" s="452"/>
      <c r="J2059" s="452"/>
    </row>
    <row r="2060" spans="1:10" s="669" customFormat="1" ht="18.75">
      <c r="A2060" s="452">
        <v>72</v>
      </c>
      <c r="B2060" s="700" t="s">
        <v>4318</v>
      </c>
      <c r="C2060" s="816"/>
      <c r="D2060" s="9">
        <v>2100</v>
      </c>
      <c r="E2060" s="818" t="s">
        <v>286</v>
      </c>
      <c r="F2060" s="452"/>
      <c r="G2060" s="452"/>
      <c r="H2060" s="452"/>
      <c r="I2060" s="452"/>
      <c r="J2060" s="452"/>
    </row>
    <row r="2061" spans="1:10" s="669" customFormat="1" ht="18.75">
      <c r="A2061" s="452">
        <v>73</v>
      </c>
      <c r="B2061" s="700" t="s">
        <v>4319</v>
      </c>
      <c r="C2061" s="816"/>
      <c r="D2061" s="9">
        <v>2100</v>
      </c>
      <c r="E2061" s="818" t="s">
        <v>286</v>
      </c>
      <c r="F2061" s="452"/>
      <c r="G2061" s="452"/>
      <c r="H2061" s="452"/>
      <c r="I2061" s="452"/>
      <c r="J2061" s="452"/>
    </row>
    <row r="2062" spans="1:10" s="669" customFormat="1" ht="37.5">
      <c r="A2062" s="452">
        <v>74</v>
      </c>
      <c r="B2062" s="726" t="s">
        <v>4428</v>
      </c>
      <c r="C2062" s="721" t="s">
        <v>4427</v>
      </c>
      <c r="D2062" s="9">
        <v>20</v>
      </c>
      <c r="E2062" s="818"/>
      <c r="F2062" s="452"/>
      <c r="G2062" s="452"/>
      <c r="H2062" s="452"/>
      <c r="I2062" s="452"/>
      <c r="J2062" s="452"/>
    </row>
    <row r="2063" spans="1:10" s="669" customFormat="1" ht="18.75">
      <c r="A2063" s="452">
        <v>75</v>
      </c>
      <c r="B2063" s="702" t="s">
        <v>2198</v>
      </c>
      <c r="C2063" s="714" t="s">
        <v>630</v>
      </c>
      <c r="D2063" s="9">
        <v>1600</v>
      </c>
      <c r="E2063" s="818" t="s">
        <v>286</v>
      </c>
      <c r="F2063" s="452"/>
      <c r="G2063" s="452"/>
      <c r="H2063" s="452"/>
      <c r="I2063" s="452"/>
      <c r="J2063" s="452"/>
    </row>
    <row r="2064" spans="1:10" s="669" customFormat="1" ht="18.75">
      <c r="A2064" s="452">
        <v>76</v>
      </c>
      <c r="B2064" s="702" t="s">
        <v>2199</v>
      </c>
      <c r="C2064" s="714" t="s">
        <v>631</v>
      </c>
      <c r="D2064" s="9">
        <v>440</v>
      </c>
      <c r="E2064" s="818" t="s">
        <v>286</v>
      </c>
      <c r="F2064" s="452"/>
      <c r="G2064" s="452"/>
      <c r="H2064" s="452"/>
      <c r="I2064" s="452"/>
      <c r="J2064" s="452"/>
    </row>
    <row r="2065" spans="1:10" s="669" customFormat="1" ht="18.75">
      <c r="A2065" s="452">
        <v>77</v>
      </c>
      <c r="B2065" s="702" t="s">
        <v>4373</v>
      </c>
      <c r="C2065" s="714" t="s">
        <v>632</v>
      </c>
      <c r="D2065" s="9">
        <v>400</v>
      </c>
      <c r="E2065" s="818" t="s">
        <v>286</v>
      </c>
      <c r="F2065" s="452"/>
      <c r="G2065" s="452"/>
      <c r="H2065" s="452"/>
      <c r="I2065" s="452"/>
      <c r="J2065" s="452"/>
    </row>
    <row r="2066" spans="1:10" s="669" customFormat="1" ht="18.75">
      <c r="A2066" s="452">
        <v>78</v>
      </c>
      <c r="B2066" s="702" t="s">
        <v>4337</v>
      </c>
      <c r="C2066" s="816"/>
      <c r="D2066" s="9">
        <v>275</v>
      </c>
      <c r="E2066" s="818" t="s">
        <v>286</v>
      </c>
      <c r="F2066" s="452"/>
      <c r="G2066" s="452"/>
      <c r="H2066" s="452"/>
      <c r="I2066" s="452"/>
      <c r="J2066" s="452"/>
    </row>
    <row r="2067" spans="1:10" s="669" customFormat="1" ht="18.75">
      <c r="A2067" s="452">
        <v>79</v>
      </c>
      <c r="B2067" s="702" t="s">
        <v>4336</v>
      </c>
      <c r="C2067" s="816"/>
      <c r="D2067" s="9">
        <v>25</v>
      </c>
      <c r="E2067" s="818" t="s">
        <v>286</v>
      </c>
      <c r="F2067" s="452"/>
      <c r="G2067" s="452"/>
      <c r="H2067" s="452"/>
      <c r="I2067" s="452"/>
      <c r="J2067" s="452"/>
    </row>
    <row r="2068" spans="1:10" s="669" customFormat="1" ht="18.75">
      <c r="A2068" s="452">
        <v>80</v>
      </c>
      <c r="B2068" s="702" t="s">
        <v>4353</v>
      </c>
      <c r="C2068" s="816"/>
      <c r="D2068" s="9">
        <v>200</v>
      </c>
      <c r="E2068" s="818"/>
      <c r="F2068" s="452"/>
      <c r="G2068" s="452"/>
      <c r="H2068" s="452"/>
      <c r="I2068" s="452"/>
      <c r="J2068" s="452"/>
    </row>
    <row r="2069" spans="1:10" s="669" customFormat="1" ht="18.75">
      <c r="A2069" s="452">
        <v>81</v>
      </c>
      <c r="B2069" s="702" t="s">
        <v>4335</v>
      </c>
      <c r="C2069" s="714" t="s">
        <v>634</v>
      </c>
      <c r="D2069" s="9">
        <v>275</v>
      </c>
      <c r="E2069" s="818" t="s">
        <v>286</v>
      </c>
      <c r="F2069" s="452"/>
      <c r="G2069" s="452"/>
      <c r="H2069" s="452"/>
      <c r="I2069" s="452"/>
      <c r="J2069" s="452"/>
    </row>
    <row r="2070" spans="1:10" s="669" customFormat="1" ht="18.75">
      <c r="A2070" s="452">
        <v>82</v>
      </c>
      <c r="B2070" s="702" t="s">
        <v>4341</v>
      </c>
      <c r="C2070" s="816"/>
      <c r="D2070" s="9">
        <v>380</v>
      </c>
      <c r="E2070" s="818" t="s">
        <v>286</v>
      </c>
      <c r="F2070" s="452"/>
      <c r="G2070" s="452"/>
      <c r="H2070" s="452"/>
      <c r="I2070" s="452"/>
      <c r="J2070" s="452"/>
    </row>
    <row r="2071" spans="1:10" s="669" customFormat="1" ht="18.75">
      <c r="A2071" s="452">
        <v>83</v>
      </c>
      <c r="B2071" s="702" t="s">
        <v>4241</v>
      </c>
      <c r="C2071" s="816"/>
      <c r="D2071" s="9">
        <v>750</v>
      </c>
      <c r="E2071" s="818" t="s">
        <v>286</v>
      </c>
      <c r="F2071" s="452"/>
      <c r="G2071" s="452"/>
      <c r="H2071" s="452"/>
      <c r="I2071" s="452"/>
      <c r="J2071" s="452"/>
    </row>
    <row r="2072" spans="1:10" s="669" customFormat="1" ht="18.75">
      <c r="A2072" s="452">
        <v>84</v>
      </c>
      <c r="B2072" s="702" t="s">
        <v>4242</v>
      </c>
      <c r="C2072" s="816"/>
      <c r="D2072" s="9">
        <v>400</v>
      </c>
      <c r="E2072" s="818" t="s">
        <v>286</v>
      </c>
      <c r="F2072" s="452"/>
      <c r="G2072" s="452"/>
      <c r="H2072" s="452"/>
      <c r="I2072" s="452"/>
      <c r="J2072" s="452"/>
    </row>
    <row r="2073" spans="1:10" s="669" customFormat="1" ht="18.75">
      <c r="A2073" s="452">
        <v>85</v>
      </c>
      <c r="B2073" s="702" t="s">
        <v>4239</v>
      </c>
      <c r="C2073" s="816"/>
      <c r="D2073" s="9">
        <v>3950</v>
      </c>
      <c r="E2073" s="818" t="s">
        <v>286</v>
      </c>
      <c r="F2073" s="452"/>
      <c r="G2073" s="452"/>
      <c r="H2073" s="452"/>
      <c r="I2073" s="452"/>
      <c r="J2073" s="452"/>
    </row>
    <row r="2074" spans="1:10" s="669" customFormat="1" ht="75">
      <c r="A2074" s="452">
        <v>86</v>
      </c>
      <c r="B2074" s="702" t="s">
        <v>4248</v>
      </c>
      <c r="C2074" s="721" t="s">
        <v>4430</v>
      </c>
      <c r="D2074" s="9">
        <v>3450</v>
      </c>
      <c r="E2074" s="818" t="s">
        <v>286</v>
      </c>
      <c r="F2074" s="452"/>
      <c r="G2074" s="452"/>
      <c r="H2074" s="452"/>
      <c r="I2074" s="452"/>
      <c r="J2074" s="452"/>
    </row>
    <row r="2075" spans="1:10" s="669" customFormat="1" ht="18.75">
      <c r="A2075" s="452">
        <v>87</v>
      </c>
      <c r="B2075" s="702" t="s">
        <v>4240</v>
      </c>
      <c r="C2075" s="816"/>
      <c r="D2075" s="9">
        <v>2100</v>
      </c>
      <c r="E2075" s="818" t="s">
        <v>286</v>
      </c>
      <c r="F2075" s="452"/>
      <c r="G2075" s="452"/>
      <c r="H2075" s="452"/>
      <c r="I2075" s="452"/>
      <c r="J2075" s="452"/>
    </row>
    <row r="2076" spans="1:10" s="669" customFormat="1" ht="37.5">
      <c r="A2076" s="452">
        <v>88</v>
      </c>
      <c r="B2076" s="702" t="s">
        <v>4249</v>
      </c>
      <c r="C2076" s="721" t="s">
        <v>4431</v>
      </c>
      <c r="D2076" s="9">
        <v>500</v>
      </c>
      <c r="E2076" s="818" t="s">
        <v>286</v>
      </c>
      <c r="F2076" s="452"/>
      <c r="G2076" s="452"/>
      <c r="H2076" s="452"/>
      <c r="I2076" s="452"/>
      <c r="J2076" s="452"/>
    </row>
    <row r="2077" spans="1:10" s="669" customFormat="1" ht="37.5">
      <c r="A2077" s="452">
        <v>89</v>
      </c>
      <c r="B2077" s="702" t="s">
        <v>4285</v>
      </c>
      <c r="C2077" s="816"/>
      <c r="D2077" s="9">
        <v>10</v>
      </c>
      <c r="E2077" s="818" t="s">
        <v>286</v>
      </c>
      <c r="F2077" s="452"/>
      <c r="G2077" s="452"/>
      <c r="H2077" s="452"/>
      <c r="I2077" s="452"/>
      <c r="J2077" s="452"/>
    </row>
    <row r="2078" spans="1:10" s="669" customFormat="1" ht="37.5">
      <c r="A2078" s="452">
        <v>90</v>
      </c>
      <c r="B2078" s="702" t="s">
        <v>4284</v>
      </c>
      <c r="C2078" s="816"/>
      <c r="D2078" s="9">
        <v>110</v>
      </c>
      <c r="E2078" s="818" t="s">
        <v>286</v>
      </c>
      <c r="F2078" s="452"/>
      <c r="G2078" s="452"/>
      <c r="H2078" s="452"/>
      <c r="I2078" s="452"/>
      <c r="J2078" s="452"/>
    </row>
    <row r="2079" spans="1:10" s="669" customFormat="1" ht="18.75">
      <c r="A2079" s="452">
        <v>91</v>
      </c>
      <c r="B2079" s="702" t="s">
        <v>4299</v>
      </c>
      <c r="C2079" s="816"/>
      <c r="D2079" s="9">
        <v>40</v>
      </c>
      <c r="E2079" s="818" t="s">
        <v>693</v>
      </c>
      <c r="F2079" s="452"/>
      <c r="G2079" s="452"/>
      <c r="H2079" s="452"/>
      <c r="I2079" s="452"/>
      <c r="J2079" s="452"/>
    </row>
    <row r="2080" spans="1:10" s="669" customFormat="1" ht="18.75">
      <c r="A2080" s="452">
        <v>92</v>
      </c>
      <c r="B2080" s="700" t="s">
        <v>4316</v>
      </c>
      <c r="C2080" s="816"/>
      <c r="D2080" s="9">
        <v>500</v>
      </c>
      <c r="E2080" s="818" t="s">
        <v>286</v>
      </c>
      <c r="F2080" s="452"/>
      <c r="G2080" s="452"/>
      <c r="H2080" s="452"/>
      <c r="I2080" s="452"/>
      <c r="J2080" s="452"/>
    </row>
    <row r="2081" spans="1:10" s="669" customFormat="1" ht="18.75">
      <c r="A2081" s="452">
        <v>93</v>
      </c>
      <c r="B2081" s="700" t="s">
        <v>4317</v>
      </c>
      <c r="C2081" s="816"/>
      <c r="D2081" s="9">
        <v>500</v>
      </c>
      <c r="E2081" s="818" t="s">
        <v>286</v>
      </c>
      <c r="F2081" s="452"/>
      <c r="G2081" s="452"/>
      <c r="H2081" s="452"/>
      <c r="I2081" s="452"/>
      <c r="J2081" s="452"/>
    </row>
    <row r="2082" spans="1:10" s="669" customFormat="1" ht="37.5">
      <c r="A2082" s="452">
        <v>94</v>
      </c>
      <c r="B2082" s="711" t="s">
        <v>4354</v>
      </c>
      <c r="C2082" s="98" t="s">
        <v>4355</v>
      </c>
      <c r="D2082" s="9">
        <v>800</v>
      </c>
      <c r="E2082" s="818" t="s">
        <v>286</v>
      </c>
      <c r="F2082" s="452"/>
      <c r="G2082" s="452"/>
      <c r="H2082" s="452"/>
      <c r="I2082" s="452"/>
      <c r="J2082" s="452"/>
    </row>
    <row r="2083" spans="1:10" s="669" customFormat="1" ht="56.25">
      <c r="A2083" s="452">
        <v>95</v>
      </c>
      <c r="B2083" s="711" t="s">
        <v>4356</v>
      </c>
      <c r="C2083" s="98" t="s">
        <v>4357</v>
      </c>
      <c r="D2083" s="9">
        <v>820</v>
      </c>
      <c r="E2083" s="818" t="s">
        <v>286</v>
      </c>
      <c r="F2083" s="452"/>
      <c r="G2083" s="452"/>
      <c r="H2083" s="452"/>
      <c r="I2083" s="452"/>
      <c r="J2083" s="452"/>
    </row>
    <row r="2084" spans="1:10" s="669" customFormat="1" ht="56.25">
      <c r="A2084" s="452">
        <v>96</v>
      </c>
      <c r="B2084" s="711" t="s">
        <v>4358</v>
      </c>
      <c r="C2084" s="98" t="s">
        <v>4359</v>
      </c>
      <c r="D2084" s="9">
        <v>820</v>
      </c>
      <c r="E2084" s="818" t="s">
        <v>286</v>
      </c>
      <c r="F2084" s="452"/>
      <c r="G2084" s="452"/>
      <c r="H2084" s="452"/>
      <c r="I2084" s="452"/>
      <c r="J2084" s="452"/>
    </row>
    <row r="2085" spans="1:10" s="669" customFormat="1" ht="56.25">
      <c r="A2085" s="452">
        <v>97</v>
      </c>
      <c r="B2085" s="711" t="s">
        <v>4360</v>
      </c>
      <c r="C2085" s="98" t="s">
        <v>4361</v>
      </c>
      <c r="D2085" s="9">
        <v>820</v>
      </c>
      <c r="E2085" s="818" t="s">
        <v>286</v>
      </c>
      <c r="F2085" s="452"/>
      <c r="G2085" s="452"/>
      <c r="H2085" s="452"/>
      <c r="I2085" s="452"/>
      <c r="J2085" s="452"/>
    </row>
    <row r="2086" spans="1:10" s="669" customFormat="1" ht="56.25">
      <c r="A2086" s="452">
        <v>98</v>
      </c>
      <c r="B2086" s="711" t="s">
        <v>4362</v>
      </c>
      <c r="C2086" s="98" t="s">
        <v>4363</v>
      </c>
      <c r="D2086" s="9">
        <v>820</v>
      </c>
      <c r="E2086" s="818" t="s">
        <v>286</v>
      </c>
      <c r="F2086" s="452"/>
      <c r="G2086" s="452"/>
      <c r="H2086" s="452"/>
      <c r="I2086" s="452"/>
      <c r="J2086" s="452"/>
    </row>
    <row r="2087" spans="1:10" s="669" customFormat="1" ht="56.25">
      <c r="A2087" s="452">
        <v>99</v>
      </c>
      <c r="B2087" s="711" t="s">
        <v>4364</v>
      </c>
      <c r="C2087" s="98" t="s">
        <v>4365</v>
      </c>
      <c r="D2087" s="9">
        <v>820</v>
      </c>
      <c r="E2087" s="818" t="s">
        <v>286</v>
      </c>
      <c r="F2087" s="452"/>
      <c r="G2087" s="452"/>
      <c r="H2087" s="452"/>
      <c r="I2087" s="452"/>
      <c r="J2087" s="452"/>
    </row>
    <row r="2088" spans="1:10" s="669" customFormat="1" ht="18.75">
      <c r="A2088" s="452">
        <v>100</v>
      </c>
      <c r="B2088" s="702" t="s">
        <v>4289</v>
      </c>
      <c r="C2088" s="816"/>
      <c r="D2088" s="9">
        <v>150</v>
      </c>
      <c r="E2088" s="818" t="s">
        <v>286</v>
      </c>
      <c r="F2088" s="452"/>
      <c r="G2088" s="452"/>
      <c r="H2088" s="452"/>
      <c r="I2088" s="452"/>
      <c r="J2088" s="452"/>
    </row>
    <row r="2089" spans="1:10" s="669" customFormat="1" ht="18.75">
      <c r="A2089" s="452">
        <v>101</v>
      </c>
      <c r="B2089" s="702" t="s">
        <v>4290</v>
      </c>
      <c r="C2089" s="816"/>
      <c r="D2089" s="9">
        <v>20</v>
      </c>
      <c r="E2089" s="818" t="s">
        <v>693</v>
      </c>
      <c r="F2089" s="452"/>
      <c r="G2089" s="452"/>
      <c r="H2089" s="452"/>
      <c r="I2089" s="452"/>
      <c r="J2089" s="452"/>
    </row>
    <row r="2090" spans="1:10" s="669" customFormat="1" ht="18.75">
      <c r="A2090" s="452">
        <v>102</v>
      </c>
      <c r="B2090" s="702" t="s">
        <v>4291</v>
      </c>
      <c r="C2090" s="816"/>
      <c r="D2090" s="9">
        <v>110</v>
      </c>
      <c r="E2090" s="818" t="s">
        <v>693</v>
      </c>
      <c r="F2090" s="452"/>
      <c r="G2090" s="452"/>
      <c r="H2090" s="452"/>
      <c r="I2090" s="452"/>
      <c r="J2090" s="452"/>
    </row>
    <row r="2091" spans="1:10" s="669" customFormat="1" ht="18.75">
      <c r="A2091" s="452">
        <v>103</v>
      </c>
      <c r="B2091" s="702" t="s">
        <v>3154</v>
      </c>
      <c r="C2091" s="816"/>
      <c r="D2091" s="9">
        <v>600</v>
      </c>
      <c r="E2091" s="818" t="s">
        <v>286</v>
      </c>
      <c r="F2091" s="452"/>
      <c r="G2091" s="452"/>
      <c r="H2091" s="452"/>
      <c r="I2091" s="452"/>
      <c r="J2091" s="452"/>
    </row>
    <row r="2092" spans="1:10" s="669" customFormat="1" ht="18.75">
      <c r="A2092" s="452">
        <v>104</v>
      </c>
      <c r="B2092" s="702" t="s">
        <v>4292</v>
      </c>
      <c r="C2092" s="816"/>
      <c r="D2092" s="9">
        <v>10</v>
      </c>
      <c r="E2092" s="818" t="s">
        <v>693</v>
      </c>
      <c r="F2092" s="452"/>
      <c r="G2092" s="452"/>
      <c r="H2092" s="452"/>
      <c r="I2092" s="452"/>
      <c r="J2092" s="452"/>
    </row>
    <row r="2093" spans="1:10" s="669" customFormat="1" ht="18.75">
      <c r="A2093" s="452">
        <v>105</v>
      </c>
      <c r="B2093" s="702" t="s">
        <v>4293</v>
      </c>
      <c r="C2093" s="816"/>
      <c r="D2093" s="9">
        <v>5</v>
      </c>
      <c r="E2093" s="818" t="s">
        <v>693</v>
      </c>
      <c r="F2093" s="452"/>
      <c r="G2093" s="452"/>
      <c r="H2093" s="452"/>
      <c r="I2093" s="452"/>
      <c r="J2093" s="452"/>
    </row>
    <row r="2094" spans="1:10" s="669" customFormat="1" ht="18.75">
      <c r="A2094" s="452">
        <v>106</v>
      </c>
      <c r="B2094" s="702" t="s">
        <v>4294</v>
      </c>
      <c r="C2094" s="816"/>
      <c r="D2094" s="9">
        <v>4305</v>
      </c>
      <c r="E2094" s="818" t="s">
        <v>693</v>
      </c>
      <c r="F2094" s="452"/>
      <c r="G2094" s="452"/>
      <c r="H2094" s="452"/>
      <c r="I2094" s="452"/>
      <c r="J2094" s="452"/>
    </row>
    <row r="2095" spans="1:10" s="669" customFormat="1" ht="18.75">
      <c r="A2095" s="452">
        <v>107</v>
      </c>
      <c r="B2095" s="702" t="s">
        <v>4295</v>
      </c>
      <c r="C2095" s="816"/>
      <c r="D2095" s="9">
        <v>630</v>
      </c>
      <c r="E2095" s="818" t="s">
        <v>693</v>
      </c>
      <c r="F2095" s="452"/>
      <c r="G2095" s="452"/>
      <c r="H2095" s="452"/>
      <c r="I2095" s="452"/>
      <c r="J2095" s="452"/>
    </row>
    <row r="2096" spans="1:10" s="669" customFormat="1" ht="60">
      <c r="A2096" s="452">
        <v>108</v>
      </c>
      <c r="B2096" s="702" t="s">
        <v>4342</v>
      </c>
      <c r="C2096" s="816"/>
      <c r="D2096" s="9">
        <v>260</v>
      </c>
      <c r="E2096" s="818" t="s">
        <v>127</v>
      </c>
      <c r="F2096" s="452"/>
      <c r="G2096" s="452"/>
      <c r="H2096" s="452"/>
      <c r="I2096" s="452"/>
      <c r="J2096" s="452"/>
    </row>
    <row r="2097" spans="1:10" s="669" customFormat="1" ht="41.25">
      <c r="A2097" s="452">
        <v>109</v>
      </c>
      <c r="B2097" s="702" t="s">
        <v>4301</v>
      </c>
      <c r="C2097" s="816"/>
      <c r="D2097" s="9">
        <v>45</v>
      </c>
      <c r="E2097" s="818" t="s">
        <v>127</v>
      </c>
      <c r="F2097" s="452"/>
      <c r="G2097" s="452"/>
      <c r="H2097" s="452"/>
      <c r="I2097" s="452"/>
      <c r="J2097" s="452"/>
    </row>
    <row r="2098" spans="1:10" s="669" customFormat="1" ht="18.75">
      <c r="A2098" s="452">
        <v>110</v>
      </c>
      <c r="B2098" s="702" t="s">
        <v>4381</v>
      </c>
      <c r="C2098" s="816"/>
      <c r="D2098" s="9">
        <v>970</v>
      </c>
      <c r="E2098" s="818" t="s">
        <v>286</v>
      </c>
      <c r="F2098" s="452"/>
      <c r="G2098" s="452"/>
      <c r="H2098" s="452"/>
      <c r="I2098" s="452"/>
      <c r="J2098" s="452"/>
    </row>
    <row r="2099" spans="1:10" s="669" customFormat="1" ht="18.75">
      <c r="A2099" s="452">
        <v>111</v>
      </c>
      <c r="B2099" s="702" t="s">
        <v>4244</v>
      </c>
      <c r="C2099" s="816"/>
      <c r="D2099" s="9">
        <v>420</v>
      </c>
      <c r="E2099" s="818" t="s">
        <v>286</v>
      </c>
      <c r="F2099" s="452"/>
      <c r="G2099" s="452"/>
      <c r="H2099" s="452"/>
      <c r="I2099" s="452"/>
      <c r="J2099" s="452"/>
    </row>
    <row r="2100" spans="1:10" s="669" customFormat="1" ht="37.5">
      <c r="A2100" s="452">
        <v>112</v>
      </c>
      <c r="B2100" s="720" t="s">
        <v>4391</v>
      </c>
      <c r="C2100" s="721" t="s">
        <v>4390</v>
      </c>
      <c r="D2100" s="9">
        <v>250</v>
      </c>
      <c r="E2100" s="818" t="s">
        <v>286</v>
      </c>
      <c r="F2100" s="452"/>
      <c r="G2100" s="452"/>
      <c r="H2100" s="452"/>
      <c r="I2100" s="452"/>
      <c r="J2100" s="452"/>
    </row>
    <row r="2101" spans="1:10" s="669" customFormat="1" ht="18.75">
      <c r="A2101" s="452">
        <v>113</v>
      </c>
      <c r="B2101" s="702" t="s">
        <v>4245</v>
      </c>
      <c r="C2101" s="816"/>
      <c r="D2101" s="9">
        <v>190</v>
      </c>
      <c r="E2101" s="818" t="s">
        <v>286</v>
      </c>
      <c r="F2101" s="452"/>
      <c r="G2101" s="452"/>
      <c r="H2101" s="452"/>
      <c r="I2101" s="452"/>
      <c r="J2101" s="452"/>
    </row>
    <row r="2102" spans="1:10" s="669" customFormat="1" ht="37.5">
      <c r="A2102" s="452">
        <v>114</v>
      </c>
      <c r="B2102" s="720" t="s">
        <v>4388</v>
      </c>
      <c r="C2102" s="721" t="s">
        <v>4389</v>
      </c>
      <c r="D2102" s="9">
        <v>300</v>
      </c>
      <c r="E2102" s="818" t="s">
        <v>286</v>
      </c>
      <c r="F2102" s="452"/>
      <c r="G2102" s="452"/>
      <c r="H2102" s="452"/>
      <c r="I2102" s="452"/>
      <c r="J2102" s="452"/>
    </row>
    <row r="2103" spans="1:10" s="669" customFormat="1" ht="18.75">
      <c r="A2103" s="452">
        <v>115</v>
      </c>
      <c r="B2103" s="702" t="s">
        <v>4246</v>
      </c>
      <c r="C2103" s="816"/>
      <c r="D2103" s="9">
        <v>250</v>
      </c>
      <c r="E2103" s="818" t="s">
        <v>286</v>
      </c>
      <c r="F2103" s="452"/>
      <c r="G2103" s="452"/>
      <c r="H2103" s="452"/>
      <c r="I2103" s="452"/>
      <c r="J2103" s="452"/>
    </row>
    <row r="2104" spans="1:10" s="669" customFormat="1" ht="18.75">
      <c r="A2104" s="452">
        <v>116</v>
      </c>
      <c r="B2104" s="702" t="s">
        <v>4243</v>
      </c>
      <c r="C2104" s="816" t="s">
        <v>657</v>
      </c>
      <c r="D2104" s="9">
        <v>90</v>
      </c>
      <c r="E2104" s="818" t="s">
        <v>286</v>
      </c>
      <c r="F2104" s="452"/>
      <c r="G2104" s="452"/>
      <c r="H2104" s="452"/>
      <c r="I2104" s="452"/>
      <c r="J2104" s="452"/>
    </row>
    <row r="2105" spans="1:10" s="669" customFormat="1" ht="14.25" customHeight="1">
      <c r="A2105" s="452">
        <v>117</v>
      </c>
      <c r="B2105" s="702" t="s">
        <v>4251</v>
      </c>
      <c r="C2105" s="721" t="s">
        <v>4407</v>
      </c>
      <c r="D2105" s="9">
        <v>160</v>
      </c>
      <c r="E2105" s="818" t="s">
        <v>693</v>
      </c>
      <c r="F2105" s="452"/>
      <c r="G2105" s="452"/>
      <c r="H2105" s="452"/>
      <c r="I2105" s="452"/>
      <c r="J2105" s="452"/>
    </row>
    <row r="2106" spans="1:10" s="669" customFormat="1" ht="37.5">
      <c r="A2106" s="452">
        <v>118</v>
      </c>
      <c r="B2106" s="702" t="s">
        <v>4252</v>
      </c>
      <c r="C2106" s="721" t="s">
        <v>4408</v>
      </c>
      <c r="D2106" s="9">
        <v>80</v>
      </c>
      <c r="E2106" s="818" t="s">
        <v>693</v>
      </c>
      <c r="F2106" s="452"/>
      <c r="G2106" s="452"/>
      <c r="H2106" s="452"/>
      <c r="I2106" s="452"/>
      <c r="J2106" s="452"/>
    </row>
    <row r="2107" spans="1:10" s="669" customFormat="1" ht="37.5">
      <c r="A2107" s="452">
        <v>119</v>
      </c>
      <c r="B2107" s="702" t="s">
        <v>4321</v>
      </c>
      <c r="C2107" s="816"/>
      <c r="D2107" s="9">
        <v>150</v>
      </c>
      <c r="E2107" s="818" t="s">
        <v>693</v>
      </c>
      <c r="F2107" s="452"/>
      <c r="G2107" s="452"/>
      <c r="H2107" s="452"/>
      <c r="I2107" s="452"/>
      <c r="J2107" s="452"/>
    </row>
    <row r="2108" spans="1:10" s="669" customFormat="1" ht="18.75">
      <c r="A2108" s="452">
        <v>120</v>
      </c>
      <c r="B2108" s="702" t="s">
        <v>4367</v>
      </c>
      <c r="C2108" s="816"/>
      <c r="D2108" s="9">
        <v>200</v>
      </c>
      <c r="E2108" s="818" t="s">
        <v>693</v>
      </c>
      <c r="F2108" s="452"/>
      <c r="G2108" s="452"/>
      <c r="H2108" s="452"/>
      <c r="I2108" s="452"/>
      <c r="J2108" s="452"/>
    </row>
    <row r="2109" spans="1:10" s="669" customFormat="1" ht="18.75">
      <c r="A2109" s="452">
        <v>121</v>
      </c>
      <c r="B2109" s="702" t="s">
        <v>4261</v>
      </c>
      <c r="C2109" s="721" t="s">
        <v>4411</v>
      </c>
      <c r="D2109" s="9">
        <v>1430</v>
      </c>
      <c r="E2109" s="818" t="s">
        <v>693</v>
      </c>
      <c r="F2109" s="452"/>
      <c r="G2109" s="452"/>
      <c r="H2109" s="452"/>
      <c r="I2109" s="452"/>
      <c r="J2109" s="452"/>
    </row>
    <row r="2110" spans="1:10" s="669" customFormat="1" ht="18.75">
      <c r="A2110" s="452">
        <v>122</v>
      </c>
      <c r="B2110" s="702" t="s">
        <v>4262</v>
      </c>
      <c r="C2110" s="816"/>
      <c r="D2110" s="9">
        <v>120</v>
      </c>
      <c r="E2110" s="818" t="s">
        <v>693</v>
      </c>
      <c r="F2110" s="452"/>
      <c r="G2110" s="452"/>
      <c r="H2110" s="452"/>
      <c r="I2110" s="452"/>
      <c r="J2110" s="452"/>
    </row>
    <row r="2111" spans="1:10" s="669" customFormat="1" ht="18.75">
      <c r="A2111" s="452">
        <v>123</v>
      </c>
      <c r="B2111" s="712" t="s">
        <v>4338</v>
      </c>
      <c r="C2111" s="816"/>
      <c r="D2111" s="9">
        <v>205</v>
      </c>
      <c r="E2111" s="818" t="s">
        <v>286</v>
      </c>
      <c r="F2111" s="452"/>
      <c r="G2111" s="452"/>
      <c r="H2111" s="452"/>
      <c r="I2111" s="452"/>
      <c r="J2111" s="452"/>
    </row>
    <row r="2112" spans="1:10" s="669" customFormat="1" ht="18.75">
      <c r="A2112" s="452">
        <v>124</v>
      </c>
      <c r="B2112" s="712" t="s">
        <v>4339</v>
      </c>
      <c r="C2112" s="816"/>
      <c r="D2112" s="9">
        <v>230</v>
      </c>
      <c r="E2112" s="818" t="s">
        <v>286</v>
      </c>
      <c r="F2112" s="452"/>
      <c r="G2112" s="452"/>
      <c r="H2112" s="452"/>
      <c r="I2112" s="452"/>
      <c r="J2112" s="452"/>
    </row>
    <row r="2113" spans="1:10" s="669" customFormat="1" ht="18.75">
      <c r="A2113" s="452">
        <v>125</v>
      </c>
      <c r="B2113" s="702" t="s">
        <v>4340</v>
      </c>
      <c r="C2113" s="816"/>
      <c r="D2113" s="9">
        <v>520</v>
      </c>
      <c r="E2113" s="818" t="s">
        <v>286</v>
      </c>
      <c r="F2113" s="452"/>
      <c r="G2113" s="452"/>
      <c r="H2113" s="452"/>
      <c r="I2113" s="452"/>
      <c r="J2113" s="452"/>
    </row>
    <row r="2114" spans="1:10" s="669" customFormat="1" ht="18.75">
      <c r="A2114" s="452">
        <v>126</v>
      </c>
      <c r="B2114" s="702" t="s">
        <v>4387</v>
      </c>
      <c r="C2114" s="816"/>
      <c r="D2114" s="9">
        <v>55</v>
      </c>
      <c r="E2114" s="818" t="s">
        <v>693</v>
      </c>
      <c r="F2114" s="452"/>
      <c r="G2114" s="452"/>
      <c r="H2114" s="452"/>
      <c r="I2114" s="452"/>
      <c r="J2114" s="452"/>
    </row>
    <row r="2115" spans="1:10" s="669" customFormat="1" ht="18.75">
      <c r="A2115" s="452">
        <v>127</v>
      </c>
      <c r="B2115" s="702" t="s">
        <v>4258</v>
      </c>
      <c r="C2115" s="721" t="s">
        <v>4409</v>
      </c>
      <c r="D2115" s="9">
        <v>300</v>
      </c>
      <c r="E2115" s="818" t="s">
        <v>693</v>
      </c>
      <c r="F2115" s="452"/>
      <c r="G2115" s="452"/>
      <c r="H2115" s="452"/>
      <c r="I2115" s="452"/>
      <c r="J2115" s="452"/>
    </row>
    <row r="2116" spans="1:10" s="669" customFormat="1" ht="37.5">
      <c r="A2116" s="452">
        <v>128</v>
      </c>
      <c r="B2116" s="702" t="s">
        <v>4259</v>
      </c>
      <c r="C2116" s="721" t="s">
        <v>4410</v>
      </c>
      <c r="D2116" s="9">
        <v>245</v>
      </c>
      <c r="E2116" s="818" t="s">
        <v>286</v>
      </c>
      <c r="F2116" s="452"/>
      <c r="G2116" s="452"/>
      <c r="H2116" s="452"/>
      <c r="I2116" s="452"/>
      <c r="J2116" s="452"/>
    </row>
    <row r="2117" spans="1:10" s="669" customFormat="1" ht="18.75">
      <c r="A2117" s="452">
        <v>129</v>
      </c>
      <c r="B2117" s="702" t="s">
        <v>4260</v>
      </c>
      <c r="C2117" s="816"/>
      <c r="D2117" s="9">
        <v>125</v>
      </c>
      <c r="E2117" s="818" t="s">
        <v>286</v>
      </c>
      <c r="F2117" s="452"/>
      <c r="G2117" s="452"/>
      <c r="H2117" s="452"/>
      <c r="I2117" s="452"/>
      <c r="J2117" s="452"/>
    </row>
    <row r="2118" spans="1:10" s="669" customFormat="1" ht="37.5">
      <c r="A2118" s="452">
        <v>130</v>
      </c>
      <c r="B2118" s="702" t="s">
        <v>4268</v>
      </c>
      <c r="C2118" s="816"/>
      <c r="D2118" s="9">
        <v>40</v>
      </c>
      <c r="E2118" s="818" t="s">
        <v>286</v>
      </c>
      <c r="F2118" s="452"/>
      <c r="G2118" s="452"/>
      <c r="H2118" s="452"/>
      <c r="I2118" s="452"/>
      <c r="J2118" s="452"/>
    </row>
    <row r="2119" spans="1:10" s="669" customFormat="1" ht="18.75">
      <c r="A2119" s="452">
        <v>131</v>
      </c>
      <c r="B2119" s="702" t="s">
        <v>4283</v>
      </c>
      <c r="C2119" s="816"/>
      <c r="D2119" s="9">
        <v>65</v>
      </c>
      <c r="E2119" s="818" t="s">
        <v>286</v>
      </c>
      <c r="F2119" s="452"/>
      <c r="G2119" s="452"/>
      <c r="H2119" s="452"/>
      <c r="I2119" s="452"/>
      <c r="J2119" s="452"/>
    </row>
    <row r="2120" spans="1:10" s="669" customFormat="1" ht="18.75">
      <c r="A2120" s="452">
        <v>132</v>
      </c>
      <c r="B2120" s="702" t="s">
        <v>743</v>
      </c>
      <c r="C2120" s="98"/>
      <c r="D2120" s="9">
        <v>105</v>
      </c>
      <c r="E2120" s="818" t="s">
        <v>286</v>
      </c>
      <c r="F2120" s="452"/>
      <c r="G2120" s="452"/>
      <c r="H2120" s="452"/>
      <c r="I2120" s="452"/>
      <c r="J2120" s="452"/>
    </row>
    <row r="2121" spans="1:10" s="669" customFormat="1" ht="18.75">
      <c r="A2121" s="452">
        <v>133</v>
      </c>
      <c r="B2121" s="702" t="s">
        <v>4375</v>
      </c>
      <c r="C2121" s="714" t="s">
        <v>645</v>
      </c>
      <c r="D2121" s="9">
        <v>15</v>
      </c>
      <c r="E2121" s="818" t="s">
        <v>693</v>
      </c>
      <c r="F2121" s="452"/>
      <c r="G2121" s="452"/>
      <c r="H2121" s="452"/>
      <c r="I2121" s="452"/>
      <c r="J2121" s="452"/>
    </row>
    <row r="2122" spans="1:10" s="669" customFormat="1" ht="93.75">
      <c r="A2122" s="452">
        <v>134</v>
      </c>
      <c r="B2122" s="702" t="s">
        <v>4250</v>
      </c>
      <c r="C2122" s="721" t="s">
        <v>4429</v>
      </c>
      <c r="D2122" s="9">
        <v>590</v>
      </c>
      <c r="E2122" s="818" t="s">
        <v>693</v>
      </c>
      <c r="F2122" s="452"/>
      <c r="G2122" s="452"/>
      <c r="H2122" s="452"/>
      <c r="I2122" s="452"/>
      <c r="J2122" s="452"/>
    </row>
    <row r="2123" spans="1:10" s="669" customFormat="1" ht="18.75">
      <c r="A2123" s="452">
        <v>135</v>
      </c>
      <c r="B2123" s="700" t="s">
        <v>4350</v>
      </c>
      <c r="C2123" s="714" t="s">
        <v>4351</v>
      </c>
      <c r="D2123" s="9">
        <v>4</v>
      </c>
      <c r="E2123" s="818" t="s">
        <v>693</v>
      </c>
      <c r="F2123" s="452"/>
      <c r="G2123" s="452"/>
      <c r="H2123" s="452"/>
      <c r="I2123" s="452"/>
      <c r="J2123" s="452"/>
    </row>
    <row r="2124" spans="1:10" s="669" customFormat="1" ht="18.75">
      <c r="A2124" s="452">
        <v>136</v>
      </c>
      <c r="B2124" s="700" t="s">
        <v>4304</v>
      </c>
      <c r="C2124" s="714" t="s">
        <v>4349</v>
      </c>
      <c r="D2124" s="9">
        <v>10</v>
      </c>
      <c r="E2124" s="818" t="s">
        <v>693</v>
      </c>
      <c r="F2124" s="452"/>
      <c r="G2124" s="452"/>
      <c r="H2124" s="452"/>
      <c r="I2124" s="452"/>
      <c r="J2124" s="452"/>
    </row>
    <row r="2125" spans="1:10" s="669" customFormat="1" ht="18.75">
      <c r="A2125" s="452">
        <v>137</v>
      </c>
      <c r="B2125" s="711" t="s">
        <v>4376</v>
      </c>
      <c r="C2125" s="715" t="s">
        <v>685</v>
      </c>
      <c r="D2125" s="9">
        <v>26</v>
      </c>
      <c r="E2125" s="815"/>
      <c r="F2125" s="452"/>
      <c r="G2125" s="452"/>
      <c r="H2125" s="452"/>
      <c r="I2125" s="452"/>
      <c r="J2125" s="452"/>
    </row>
    <row r="2126" spans="1:10" s="669" customFormat="1" ht="18.75">
      <c r="A2126" s="452">
        <v>138</v>
      </c>
      <c r="B2126" s="700" t="s">
        <v>4312</v>
      </c>
      <c r="C2126" s="816"/>
      <c r="D2126" s="9">
        <v>15</v>
      </c>
      <c r="E2126" s="818" t="s">
        <v>286</v>
      </c>
      <c r="F2126" s="452"/>
      <c r="G2126" s="452"/>
      <c r="H2126" s="452"/>
      <c r="I2126" s="452"/>
      <c r="J2126" s="452"/>
    </row>
    <row r="2127" spans="1:10" s="669" customFormat="1" ht="18.75">
      <c r="A2127" s="452">
        <v>139</v>
      </c>
      <c r="B2127" s="702" t="s">
        <v>4368</v>
      </c>
      <c r="C2127" s="816"/>
      <c r="D2127" s="9">
        <v>90</v>
      </c>
      <c r="E2127" s="818" t="s">
        <v>286</v>
      </c>
      <c r="F2127" s="452"/>
      <c r="G2127" s="452"/>
      <c r="H2127" s="452"/>
      <c r="I2127" s="452"/>
      <c r="J2127" s="452"/>
    </row>
    <row r="2128" spans="1:10" s="669" customFormat="1" ht="18.75">
      <c r="A2128" s="452">
        <v>140</v>
      </c>
      <c r="B2128" s="702" t="s">
        <v>4331</v>
      </c>
      <c r="C2128" s="721" t="s">
        <v>4412</v>
      </c>
      <c r="D2128" s="9">
        <v>330</v>
      </c>
      <c r="E2128" s="818" t="s">
        <v>286</v>
      </c>
      <c r="F2128" s="452"/>
      <c r="G2128" s="452"/>
      <c r="H2128" s="452"/>
      <c r="I2128" s="452"/>
      <c r="J2128" s="452"/>
    </row>
    <row r="2129" spans="1:10" s="669" customFormat="1" ht="18.75">
      <c r="A2129" s="452">
        <v>141</v>
      </c>
      <c r="B2129" s="702" t="s">
        <v>4297</v>
      </c>
      <c r="C2129" s="816"/>
      <c r="D2129" s="9">
        <v>100</v>
      </c>
      <c r="E2129" s="818" t="s">
        <v>693</v>
      </c>
      <c r="F2129" s="452"/>
      <c r="G2129" s="452"/>
      <c r="H2129" s="452"/>
      <c r="I2129" s="452"/>
      <c r="J2129" s="452"/>
    </row>
    <row r="2130" spans="1:10" s="669" customFormat="1" ht="18.75">
      <c r="A2130" s="452">
        <v>142</v>
      </c>
      <c r="B2130" s="726" t="s">
        <v>4426</v>
      </c>
      <c r="C2130" s="721" t="s">
        <v>4425</v>
      </c>
      <c r="D2130" s="9">
        <v>4</v>
      </c>
      <c r="E2130" s="722" t="s">
        <v>693</v>
      </c>
      <c r="F2130" s="452"/>
      <c r="G2130" s="452"/>
      <c r="H2130" s="452"/>
      <c r="I2130" s="452"/>
      <c r="J2130" s="452"/>
    </row>
    <row r="2131" spans="1:10" s="669" customFormat="1" ht="18.75">
      <c r="A2131" s="452">
        <v>143</v>
      </c>
      <c r="B2131" s="726" t="s">
        <v>4424</v>
      </c>
      <c r="C2131" s="721" t="s">
        <v>4423</v>
      </c>
      <c r="D2131" s="9">
        <v>4</v>
      </c>
      <c r="E2131" s="722" t="s">
        <v>693</v>
      </c>
      <c r="F2131" s="452"/>
      <c r="G2131" s="452"/>
      <c r="H2131" s="452"/>
      <c r="I2131" s="452"/>
      <c r="J2131" s="452"/>
    </row>
    <row r="2132" spans="1:10" s="669" customFormat="1" ht="18.75">
      <c r="A2132" s="452">
        <v>144</v>
      </c>
      <c r="B2132" s="726" t="s">
        <v>4422</v>
      </c>
      <c r="C2132" s="721" t="s">
        <v>4421</v>
      </c>
      <c r="D2132" s="9">
        <v>8</v>
      </c>
      <c r="E2132" s="722" t="s">
        <v>693</v>
      </c>
      <c r="F2132" s="452"/>
      <c r="G2132" s="452"/>
      <c r="H2132" s="452"/>
      <c r="I2132" s="452"/>
      <c r="J2132" s="452"/>
    </row>
    <row r="2133" spans="1:10" s="669" customFormat="1" ht="18.75">
      <c r="A2133" s="452">
        <v>145</v>
      </c>
      <c r="B2133" s="726" t="s">
        <v>4420</v>
      </c>
      <c r="C2133" s="721" t="s">
        <v>4419</v>
      </c>
      <c r="D2133" s="9">
        <v>8</v>
      </c>
      <c r="E2133" s="722" t="s">
        <v>693</v>
      </c>
      <c r="F2133" s="452"/>
      <c r="G2133" s="452"/>
      <c r="H2133" s="452"/>
      <c r="I2133" s="452"/>
      <c r="J2133" s="452"/>
    </row>
    <row r="2134" spans="1:10" s="669" customFormat="1" ht="31.5" customHeight="1">
      <c r="A2134" s="452">
        <v>146</v>
      </c>
      <c r="B2134" s="726" t="s">
        <v>4418</v>
      </c>
      <c r="C2134" s="721" t="s">
        <v>4417</v>
      </c>
      <c r="D2134" s="9">
        <v>8</v>
      </c>
      <c r="E2134" s="722" t="s">
        <v>693</v>
      </c>
      <c r="F2134" s="452"/>
      <c r="G2134" s="452"/>
      <c r="H2134" s="452"/>
      <c r="I2134" s="452"/>
      <c r="J2134" s="452"/>
    </row>
    <row r="2135" spans="1:10" s="669" customFormat="1" ht="18.75">
      <c r="A2135" s="452">
        <v>147</v>
      </c>
      <c r="B2135" s="726" t="s">
        <v>4416</v>
      </c>
      <c r="C2135" s="721" t="s">
        <v>4415</v>
      </c>
      <c r="D2135" s="9">
        <v>8</v>
      </c>
      <c r="E2135" s="722" t="s">
        <v>693</v>
      </c>
      <c r="F2135" s="452"/>
      <c r="G2135" s="452"/>
      <c r="H2135" s="452"/>
      <c r="I2135" s="452"/>
      <c r="J2135" s="452"/>
    </row>
    <row r="2136" spans="1:10" s="669" customFormat="1" ht="18.75">
      <c r="A2136" s="452">
        <v>148</v>
      </c>
      <c r="B2136" s="726" t="s">
        <v>4414</v>
      </c>
      <c r="C2136" s="721" t="s">
        <v>4413</v>
      </c>
      <c r="D2136" s="9">
        <v>8</v>
      </c>
      <c r="E2136" s="722" t="s">
        <v>693</v>
      </c>
      <c r="F2136" s="452"/>
      <c r="G2136" s="452"/>
      <c r="H2136" s="452"/>
      <c r="I2136" s="452"/>
      <c r="J2136" s="452"/>
    </row>
    <row r="2137" spans="1:10" s="669" customFormat="1">
      <c r="A2137" s="1026" t="s">
        <v>2147</v>
      </c>
      <c r="B2137" s="1027"/>
      <c r="C2137" s="1027"/>
      <c r="D2137" s="1027"/>
      <c r="E2137" s="1027"/>
      <c r="F2137" s="1027"/>
      <c r="G2137" s="1027"/>
      <c r="H2137" s="1027"/>
      <c r="I2137" s="1027"/>
      <c r="J2137" s="1028"/>
    </row>
    <row r="2138" spans="1:10" s="669" customFormat="1" ht="47.25">
      <c r="A2138" s="453">
        <v>1</v>
      </c>
      <c r="B2138" s="773" t="s">
        <v>694</v>
      </c>
      <c r="C2138" s="750" t="s">
        <v>695</v>
      </c>
      <c r="D2138" s="64" t="s">
        <v>126</v>
      </c>
      <c r="E2138" s="750">
        <f>G2138+H2138+I2138+J2138</f>
        <v>180</v>
      </c>
      <c r="F2138" s="453" t="s">
        <v>777</v>
      </c>
      <c r="G2138" s="453">
        <v>0</v>
      </c>
      <c r="H2138" s="453">
        <v>100</v>
      </c>
      <c r="I2138" s="453">
        <v>80</v>
      </c>
      <c r="J2138" s="130">
        <v>0</v>
      </c>
    </row>
    <row r="2139" spans="1:10" s="669" customFormat="1" ht="78.75">
      <c r="A2139" s="453">
        <v>2</v>
      </c>
      <c r="B2139" s="773" t="s">
        <v>696</v>
      </c>
      <c r="C2139" s="750" t="s">
        <v>697</v>
      </c>
      <c r="D2139" s="750" t="s">
        <v>698</v>
      </c>
      <c r="E2139" s="750">
        <f>G2139+H2139+I2139+J2139</f>
        <v>12</v>
      </c>
      <c r="F2139" s="453" t="s">
        <v>778</v>
      </c>
      <c r="G2139" s="453">
        <v>0</v>
      </c>
      <c r="H2139" s="453">
        <v>12</v>
      </c>
      <c r="I2139" s="452">
        <v>0</v>
      </c>
      <c r="J2139" s="131">
        <v>0</v>
      </c>
    </row>
    <row r="2140" spans="1:10" s="669" customFormat="1" ht="47.25">
      <c r="A2140" s="453">
        <v>3</v>
      </c>
      <c r="B2140" s="773" t="s">
        <v>699</v>
      </c>
      <c r="C2140" s="750" t="s">
        <v>700</v>
      </c>
      <c r="D2140" s="64" t="s">
        <v>126</v>
      </c>
      <c r="E2140" s="750">
        <f t="shared" ref="E2140:E2182" si="69">G2140+H2140+I2140+J2140</f>
        <v>100</v>
      </c>
      <c r="F2140" s="453" t="s">
        <v>779</v>
      </c>
      <c r="G2140" s="453">
        <v>0</v>
      </c>
      <c r="H2140" s="453">
        <v>100</v>
      </c>
      <c r="I2140" s="452">
        <v>0</v>
      </c>
      <c r="J2140" s="131">
        <v>0</v>
      </c>
    </row>
    <row r="2141" spans="1:10" s="669" customFormat="1" ht="47.25">
      <c r="A2141" s="453">
        <v>4</v>
      </c>
      <c r="B2141" s="773" t="s">
        <v>701</v>
      </c>
      <c r="C2141" s="750" t="s">
        <v>702</v>
      </c>
      <c r="D2141" s="64" t="s">
        <v>126</v>
      </c>
      <c r="E2141" s="750">
        <f t="shared" si="69"/>
        <v>100</v>
      </c>
      <c r="F2141" s="453" t="s">
        <v>779</v>
      </c>
      <c r="G2141" s="453">
        <v>0</v>
      </c>
      <c r="H2141" s="453">
        <v>100</v>
      </c>
      <c r="I2141" s="452">
        <v>0</v>
      </c>
      <c r="J2141" s="131">
        <v>0</v>
      </c>
    </row>
    <row r="2142" spans="1:10" s="669" customFormat="1" ht="63">
      <c r="A2142" s="453">
        <v>5</v>
      </c>
      <c r="B2142" s="773" t="s">
        <v>703</v>
      </c>
      <c r="C2142" s="442" t="s">
        <v>3053</v>
      </c>
      <c r="D2142" s="750" t="s">
        <v>698</v>
      </c>
      <c r="E2142" s="750">
        <f t="shared" si="69"/>
        <v>13</v>
      </c>
      <c r="F2142" s="453" t="s">
        <v>779</v>
      </c>
      <c r="G2142" s="453">
        <v>0</v>
      </c>
      <c r="H2142" s="453">
        <v>13</v>
      </c>
      <c r="I2142" s="452">
        <v>0</v>
      </c>
      <c r="J2142" s="131">
        <v>0</v>
      </c>
    </row>
    <row r="2143" spans="1:10" s="669" customFormat="1" ht="78.75">
      <c r="A2143" s="453">
        <v>6</v>
      </c>
      <c r="B2143" s="773" t="s">
        <v>704</v>
      </c>
      <c r="C2143" s="750" t="s">
        <v>705</v>
      </c>
      <c r="D2143" s="64" t="s">
        <v>126</v>
      </c>
      <c r="E2143" s="750">
        <f t="shared" si="69"/>
        <v>20</v>
      </c>
      <c r="F2143" s="453" t="s">
        <v>778</v>
      </c>
      <c r="G2143" s="453">
        <v>0</v>
      </c>
      <c r="H2143" s="453">
        <v>20</v>
      </c>
      <c r="I2143" s="452">
        <v>0</v>
      </c>
      <c r="J2143" s="131">
        <v>0</v>
      </c>
    </row>
    <row r="2144" spans="1:10" s="669" customFormat="1" ht="173.25">
      <c r="A2144" s="453">
        <v>7</v>
      </c>
      <c r="B2144" s="773" t="s">
        <v>706</v>
      </c>
      <c r="C2144" s="750" t="s">
        <v>707</v>
      </c>
      <c r="D2144" s="64" t="s">
        <v>126</v>
      </c>
      <c r="E2144" s="750">
        <f t="shared" si="69"/>
        <v>15</v>
      </c>
      <c r="F2144" s="453" t="s">
        <v>778</v>
      </c>
      <c r="G2144" s="453">
        <v>0</v>
      </c>
      <c r="H2144" s="453">
        <v>15</v>
      </c>
      <c r="I2144" s="452">
        <v>0</v>
      </c>
      <c r="J2144" s="131">
        <v>0</v>
      </c>
    </row>
    <row r="2145" spans="1:10" s="669" customFormat="1" ht="78.75">
      <c r="A2145" s="453">
        <v>8</v>
      </c>
      <c r="B2145" s="773" t="s">
        <v>708</v>
      </c>
      <c r="C2145" s="750" t="s">
        <v>709</v>
      </c>
      <c r="D2145" s="64" t="s">
        <v>126</v>
      </c>
      <c r="E2145" s="750">
        <f t="shared" si="69"/>
        <v>10</v>
      </c>
      <c r="F2145" s="453" t="s">
        <v>780</v>
      </c>
      <c r="G2145" s="453">
        <v>0</v>
      </c>
      <c r="H2145" s="453">
        <v>10</v>
      </c>
      <c r="I2145" s="452">
        <v>0</v>
      </c>
      <c r="J2145" s="131">
        <v>0</v>
      </c>
    </row>
    <row r="2146" spans="1:10" s="669" customFormat="1" ht="173.25">
      <c r="A2146" s="453">
        <v>9</v>
      </c>
      <c r="B2146" s="773" t="s">
        <v>710</v>
      </c>
      <c r="C2146" s="750" t="s">
        <v>711</v>
      </c>
      <c r="D2146" s="64" t="s">
        <v>126</v>
      </c>
      <c r="E2146" s="750">
        <f t="shared" si="69"/>
        <v>220</v>
      </c>
      <c r="F2146" s="453" t="s">
        <v>780</v>
      </c>
      <c r="G2146" s="453">
        <v>0</v>
      </c>
      <c r="H2146" s="453">
        <v>220</v>
      </c>
      <c r="I2146" s="452">
        <v>0</v>
      </c>
      <c r="J2146" s="131">
        <v>0</v>
      </c>
    </row>
    <row r="2147" spans="1:10" s="669" customFormat="1" ht="78.75">
      <c r="A2147" s="453">
        <v>10</v>
      </c>
      <c r="B2147" s="773" t="s">
        <v>710</v>
      </c>
      <c r="C2147" s="750" t="s">
        <v>712</v>
      </c>
      <c r="D2147" s="64" t="s">
        <v>126</v>
      </c>
      <c r="E2147" s="750">
        <f t="shared" si="69"/>
        <v>205</v>
      </c>
      <c r="F2147" s="453" t="s">
        <v>780</v>
      </c>
      <c r="G2147" s="453">
        <v>0</v>
      </c>
      <c r="H2147" s="453">
        <v>205</v>
      </c>
      <c r="I2147" s="452">
        <v>0</v>
      </c>
      <c r="J2147" s="131">
        <v>0</v>
      </c>
    </row>
    <row r="2148" spans="1:10" s="669" customFormat="1" ht="204.75">
      <c r="A2148" s="453">
        <v>11</v>
      </c>
      <c r="B2148" s="773" t="s">
        <v>713</v>
      </c>
      <c r="C2148" s="750" t="s">
        <v>714</v>
      </c>
      <c r="D2148" s="64" t="s">
        <v>126</v>
      </c>
      <c r="E2148" s="750">
        <f t="shared" si="69"/>
        <v>30</v>
      </c>
      <c r="F2148" s="453" t="s">
        <v>778</v>
      </c>
      <c r="G2148" s="453">
        <v>0</v>
      </c>
      <c r="H2148" s="453">
        <v>30</v>
      </c>
      <c r="I2148" s="452">
        <v>0</v>
      </c>
      <c r="J2148" s="131">
        <v>0</v>
      </c>
    </row>
    <row r="2149" spans="1:10" s="669" customFormat="1" ht="78.75">
      <c r="A2149" s="453">
        <v>12</v>
      </c>
      <c r="B2149" s="773" t="s">
        <v>715</v>
      </c>
      <c r="C2149" s="750" t="s">
        <v>716</v>
      </c>
      <c r="D2149" s="64" t="s">
        <v>126</v>
      </c>
      <c r="E2149" s="750">
        <f t="shared" si="69"/>
        <v>200</v>
      </c>
      <c r="F2149" s="453" t="s">
        <v>780</v>
      </c>
      <c r="G2149" s="453">
        <v>0</v>
      </c>
      <c r="H2149" s="453">
        <v>200</v>
      </c>
      <c r="I2149" s="452">
        <v>0</v>
      </c>
      <c r="J2149" s="131">
        <v>0</v>
      </c>
    </row>
    <row r="2150" spans="1:10" ht="173.25">
      <c r="A2150" s="453">
        <v>13</v>
      </c>
      <c r="B2150" s="773" t="s">
        <v>717</v>
      </c>
      <c r="C2150" s="750" t="s">
        <v>718</v>
      </c>
      <c r="D2150" s="750" t="s">
        <v>719</v>
      </c>
      <c r="E2150" s="750">
        <f t="shared" si="69"/>
        <v>12</v>
      </c>
      <c r="F2150" s="453" t="s">
        <v>780</v>
      </c>
      <c r="G2150" s="453">
        <v>0</v>
      </c>
      <c r="H2150" s="453">
        <v>12</v>
      </c>
      <c r="I2150" s="452">
        <v>0</v>
      </c>
      <c r="J2150" s="131">
        <v>0</v>
      </c>
    </row>
    <row r="2151" spans="1:10" ht="31.5">
      <c r="A2151" s="453">
        <v>14</v>
      </c>
      <c r="B2151" s="773" t="s">
        <v>720</v>
      </c>
      <c r="C2151" s="750" t="s">
        <v>721</v>
      </c>
      <c r="D2151" s="64" t="s">
        <v>126</v>
      </c>
      <c r="E2151" s="750">
        <f t="shared" si="69"/>
        <v>40</v>
      </c>
      <c r="F2151" s="453" t="s">
        <v>778</v>
      </c>
      <c r="G2151" s="453">
        <v>0</v>
      </c>
      <c r="H2151" s="453">
        <v>40</v>
      </c>
      <c r="I2151" s="452">
        <v>0</v>
      </c>
      <c r="J2151" s="131">
        <v>0</v>
      </c>
    </row>
    <row r="2152" spans="1:10" ht="63">
      <c r="A2152" s="453">
        <v>15</v>
      </c>
      <c r="B2152" s="773" t="s">
        <v>722</v>
      </c>
      <c r="C2152" s="750" t="s">
        <v>723</v>
      </c>
      <c r="D2152" s="750" t="s">
        <v>719</v>
      </c>
      <c r="E2152" s="750">
        <f t="shared" si="69"/>
        <v>8</v>
      </c>
      <c r="F2152" s="453" t="s">
        <v>778</v>
      </c>
      <c r="G2152" s="453">
        <v>0</v>
      </c>
      <c r="H2152" s="453">
        <v>8</v>
      </c>
      <c r="I2152" s="452">
        <v>0</v>
      </c>
      <c r="J2152" s="131">
        <v>0</v>
      </c>
    </row>
    <row r="2153" spans="1:10" ht="31.5">
      <c r="A2153" s="453">
        <v>16</v>
      </c>
      <c r="B2153" s="773" t="s">
        <v>724</v>
      </c>
      <c r="C2153" s="750" t="s">
        <v>725</v>
      </c>
      <c r="D2153" s="64" t="s">
        <v>126</v>
      </c>
      <c r="E2153" s="750">
        <f t="shared" si="69"/>
        <v>40</v>
      </c>
      <c r="F2153" s="453" t="s">
        <v>780</v>
      </c>
      <c r="G2153" s="453">
        <v>0</v>
      </c>
      <c r="H2153" s="453">
        <v>40</v>
      </c>
      <c r="I2153" s="452">
        <v>0</v>
      </c>
      <c r="J2153" s="131">
        <v>0</v>
      </c>
    </row>
    <row r="2154" spans="1:10" ht="31.5">
      <c r="A2154" s="453">
        <v>17</v>
      </c>
      <c r="B2154" s="773" t="s">
        <v>726</v>
      </c>
      <c r="C2154" s="750" t="s">
        <v>727</v>
      </c>
      <c r="D2154" s="750" t="s">
        <v>126</v>
      </c>
      <c r="E2154" s="750">
        <f t="shared" si="69"/>
        <v>70</v>
      </c>
      <c r="F2154" s="453" t="s">
        <v>780</v>
      </c>
      <c r="G2154" s="453">
        <v>0</v>
      </c>
      <c r="H2154" s="453">
        <v>70</v>
      </c>
      <c r="I2154" s="452">
        <v>0</v>
      </c>
      <c r="J2154" s="131">
        <v>0</v>
      </c>
    </row>
    <row r="2155" spans="1:10" ht="15.75">
      <c r="A2155" s="453">
        <v>18</v>
      </c>
      <c r="B2155" s="773" t="s">
        <v>728</v>
      </c>
      <c r="C2155" s="750"/>
      <c r="D2155" s="750" t="s">
        <v>126</v>
      </c>
      <c r="E2155" s="750">
        <f t="shared" si="69"/>
        <v>90</v>
      </c>
      <c r="F2155" s="453" t="s">
        <v>780</v>
      </c>
      <c r="G2155" s="453">
        <v>0</v>
      </c>
      <c r="H2155" s="453">
        <v>90</v>
      </c>
      <c r="I2155" s="452">
        <v>0</v>
      </c>
      <c r="J2155" s="131">
        <v>0</v>
      </c>
    </row>
    <row r="2156" spans="1:10" ht="15.75">
      <c r="A2156" s="453">
        <v>19</v>
      </c>
      <c r="B2156" s="773" t="s">
        <v>729</v>
      </c>
      <c r="C2156" s="750"/>
      <c r="D2156" s="750" t="s">
        <v>126</v>
      </c>
      <c r="E2156" s="750">
        <f t="shared" si="69"/>
        <v>70</v>
      </c>
      <c r="F2156" s="453" t="s">
        <v>780</v>
      </c>
      <c r="G2156" s="453">
        <v>0</v>
      </c>
      <c r="H2156" s="453">
        <v>70</v>
      </c>
      <c r="I2156" s="452">
        <v>0</v>
      </c>
      <c r="J2156" s="131">
        <v>0</v>
      </c>
    </row>
    <row r="2157" spans="1:10" ht="15.75">
      <c r="A2157" s="453">
        <v>20</v>
      </c>
      <c r="B2157" s="773" t="s">
        <v>730</v>
      </c>
      <c r="C2157" s="750"/>
      <c r="D2157" s="750" t="s">
        <v>126</v>
      </c>
      <c r="E2157" s="750">
        <f t="shared" si="69"/>
        <v>70</v>
      </c>
      <c r="F2157" s="453" t="s">
        <v>780</v>
      </c>
      <c r="G2157" s="453">
        <v>0</v>
      </c>
      <c r="H2157" s="453">
        <v>70</v>
      </c>
      <c r="I2157" s="452">
        <v>0</v>
      </c>
      <c r="J2157" s="131">
        <v>0</v>
      </c>
    </row>
    <row r="2158" spans="1:10" ht="15.75">
      <c r="A2158" s="453">
        <v>21</v>
      </c>
      <c r="B2158" s="773" t="s">
        <v>731</v>
      </c>
      <c r="C2158" s="750"/>
      <c r="D2158" s="750" t="s">
        <v>126</v>
      </c>
      <c r="E2158" s="750">
        <f t="shared" si="69"/>
        <v>70</v>
      </c>
      <c r="F2158" s="453" t="s">
        <v>780</v>
      </c>
      <c r="G2158" s="453">
        <v>0</v>
      </c>
      <c r="H2158" s="453">
        <v>70</v>
      </c>
      <c r="I2158" s="452">
        <v>0</v>
      </c>
      <c r="J2158" s="131">
        <v>0</v>
      </c>
    </row>
    <row r="2159" spans="1:10" ht="15.75">
      <c r="A2159" s="453">
        <v>22</v>
      </c>
      <c r="B2159" s="773" t="s">
        <v>732</v>
      </c>
      <c r="C2159" s="750"/>
      <c r="D2159" s="750" t="s">
        <v>126</v>
      </c>
      <c r="E2159" s="750">
        <f t="shared" si="69"/>
        <v>70</v>
      </c>
      <c r="F2159" s="453" t="s">
        <v>780</v>
      </c>
      <c r="G2159" s="453">
        <v>0</v>
      </c>
      <c r="H2159" s="453">
        <v>70</v>
      </c>
      <c r="I2159" s="452">
        <v>0</v>
      </c>
      <c r="J2159" s="131">
        <v>0</v>
      </c>
    </row>
    <row r="2160" spans="1:10" ht="47.25">
      <c r="A2160" s="453">
        <v>23</v>
      </c>
      <c r="B2160" s="773" t="s">
        <v>733</v>
      </c>
      <c r="C2160" s="750" t="s">
        <v>734</v>
      </c>
      <c r="D2160" s="750" t="s">
        <v>693</v>
      </c>
      <c r="E2160" s="750">
        <f t="shared" si="69"/>
        <v>25</v>
      </c>
      <c r="F2160" s="453" t="s">
        <v>778</v>
      </c>
      <c r="G2160" s="453">
        <v>0</v>
      </c>
      <c r="H2160" s="453">
        <v>25</v>
      </c>
      <c r="I2160" s="452">
        <v>0</v>
      </c>
      <c r="J2160" s="131">
        <v>0</v>
      </c>
    </row>
    <row r="2161" spans="1:10" ht="63">
      <c r="A2161" s="453">
        <v>24</v>
      </c>
      <c r="B2161" s="773" t="s">
        <v>735</v>
      </c>
      <c r="C2161" s="750" t="s">
        <v>736</v>
      </c>
      <c r="D2161" s="750" t="s">
        <v>693</v>
      </c>
      <c r="E2161" s="750">
        <f t="shared" si="69"/>
        <v>20</v>
      </c>
      <c r="F2161" s="453" t="s">
        <v>778</v>
      </c>
      <c r="G2161" s="453">
        <v>0</v>
      </c>
      <c r="H2161" s="453">
        <v>20</v>
      </c>
      <c r="I2161" s="452">
        <v>0</v>
      </c>
      <c r="J2161" s="131">
        <v>0</v>
      </c>
    </row>
    <row r="2162" spans="1:10" ht="189">
      <c r="A2162" s="453">
        <v>25</v>
      </c>
      <c r="B2162" s="773" t="s">
        <v>737</v>
      </c>
      <c r="C2162" s="750" t="s">
        <v>738</v>
      </c>
      <c r="D2162" s="750" t="s">
        <v>126</v>
      </c>
      <c r="E2162" s="750">
        <f t="shared" si="69"/>
        <v>150</v>
      </c>
      <c r="F2162" s="453" t="s">
        <v>780</v>
      </c>
      <c r="G2162" s="453">
        <v>0</v>
      </c>
      <c r="H2162" s="453">
        <v>150</v>
      </c>
      <c r="I2162" s="452">
        <v>0</v>
      </c>
      <c r="J2162" s="131">
        <v>0</v>
      </c>
    </row>
    <row r="2163" spans="1:10" ht="94.5">
      <c r="A2163" s="453">
        <v>26</v>
      </c>
      <c r="B2163" s="773" t="s">
        <v>739</v>
      </c>
      <c r="C2163" s="750" t="s">
        <v>740</v>
      </c>
      <c r="D2163" s="750" t="s">
        <v>126</v>
      </c>
      <c r="E2163" s="750">
        <f t="shared" si="69"/>
        <v>15</v>
      </c>
      <c r="F2163" s="453" t="s">
        <v>778</v>
      </c>
      <c r="G2163" s="453">
        <v>0</v>
      </c>
      <c r="H2163" s="453">
        <v>15</v>
      </c>
      <c r="I2163" s="452">
        <v>0</v>
      </c>
      <c r="J2163" s="131">
        <v>0</v>
      </c>
    </row>
    <row r="2164" spans="1:10" ht="126">
      <c r="A2164" s="453">
        <v>27</v>
      </c>
      <c r="B2164" s="773" t="s">
        <v>741</v>
      </c>
      <c r="C2164" s="750" t="s">
        <v>742</v>
      </c>
      <c r="D2164" s="750" t="s">
        <v>126</v>
      </c>
      <c r="E2164" s="750">
        <f t="shared" si="69"/>
        <v>70</v>
      </c>
      <c r="F2164" s="453" t="s">
        <v>780</v>
      </c>
      <c r="G2164" s="453">
        <v>0</v>
      </c>
      <c r="H2164" s="453">
        <v>70</v>
      </c>
      <c r="I2164" s="452">
        <v>0</v>
      </c>
      <c r="J2164" s="131">
        <v>0</v>
      </c>
    </row>
    <row r="2165" spans="1:10" ht="189">
      <c r="A2165" s="453">
        <v>28</v>
      </c>
      <c r="B2165" s="773" t="s">
        <v>743</v>
      </c>
      <c r="C2165" s="750" t="s">
        <v>744</v>
      </c>
      <c r="D2165" s="750" t="s">
        <v>126</v>
      </c>
      <c r="E2165" s="750">
        <f t="shared" si="69"/>
        <v>14</v>
      </c>
      <c r="F2165" s="453" t="s">
        <v>780</v>
      </c>
      <c r="G2165" s="453">
        <v>0</v>
      </c>
      <c r="H2165" s="453">
        <v>14</v>
      </c>
      <c r="I2165" s="452">
        <v>0</v>
      </c>
      <c r="J2165" s="131">
        <v>0</v>
      </c>
    </row>
    <row r="2166" spans="1:10" ht="63">
      <c r="A2166" s="453">
        <v>29</v>
      </c>
      <c r="B2166" s="773" t="s">
        <v>745</v>
      </c>
      <c r="C2166" s="750" t="s">
        <v>746</v>
      </c>
      <c r="D2166" s="750" t="s">
        <v>126</v>
      </c>
      <c r="E2166" s="750">
        <f t="shared" si="69"/>
        <v>140</v>
      </c>
      <c r="F2166" s="453" t="s">
        <v>780</v>
      </c>
      <c r="G2166" s="453">
        <v>0</v>
      </c>
      <c r="H2166" s="453">
        <v>140</v>
      </c>
      <c r="I2166" s="452">
        <v>0</v>
      </c>
      <c r="J2166" s="131">
        <v>0</v>
      </c>
    </row>
    <row r="2167" spans="1:10" ht="110.25">
      <c r="A2167" s="453">
        <v>30</v>
      </c>
      <c r="B2167" s="773" t="s">
        <v>747</v>
      </c>
      <c r="C2167" s="750" t="s">
        <v>748</v>
      </c>
      <c r="D2167" s="750" t="s">
        <v>126</v>
      </c>
      <c r="E2167" s="750">
        <f t="shared" si="69"/>
        <v>18</v>
      </c>
      <c r="F2167" s="453" t="s">
        <v>780</v>
      </c>
      <c r="G2167" s="453">
        <v>0</v>
      </c>
      <c r="H2167" s="453">
        <v>18</v>
      </c>
      <c r="I2167" s="452">
        <v>0</v>
      </c>
      <c r="J2167" s="131">
        <v>0</v>
      </c>
    </row>
    <row r="2168" spans="1:10" ht="15.75">
      <c r="A2168" s="453">
        <v>31</v>
      </c>
      <c r="B2168" s="805" t="s">
        <v>749</v>
      </c>
      <c r="C2168" s="101" t="s">
        <v>750</v>
      </c>
      <c r="D2168" s="101" t="s">
        <v>126</v>
      </c>
      <c r="E2168" s="750">
        <f t="shared" si="69"/>
        <v>10</v>
      </c>
      <c r="F2168" s="453" t="s">
        <v>781</v>
      </c>
      <c r="G2168" s="453">
        <v>0</v>
      </c>
      <c r="H2168" s="102">
        <v>10</v>
      </c>
      <c r="I2168" s="452">
        <v>0</v>
      </c>
      <c r="J2168" s="131">
        <v>0</v>
      </c>
    </row>
    <row r="2169" spans="1:10" ht="220.5">
      <c r="A2169" s="453">
        <v>32</v>
      </c>
      <c r="B2169" s="773" t="s">
        <v>751</v>
      </c>
      <c r="C2169" s="750" t="s">
        <v>752</v>
      </c>
      <c r="D2169" s="750" t="s">
        <v>126</v>
      </c>
      <c r="E2169" s="750">
        <f t="shared" si="69"/>
        <v>8</v>
      </c>
      <c r="F2169" s="453" t="s">
        <v>780</v>
      </c>
      <c r="G2169" s="453">
        <v>0</v>
      </c>
      <c r="H2169" s="453">
        <v>8</v>
      </c>
      <c r="I2169" s="452">
        <v>0</v>
      </c>
      <c r="J2169" s="131">
        <v>0</v>
      </c>
    </row>
    <row r="2170" spans="1:10" ht="94.5">
      <c r="A2170" s="453">
        <v>33</v>
      </c>
      <c r="B2170" s="773" t="s">
        <v>753</v>
      </c>
      <c r="C2170" s="750" t="s">
        <v>754</v>
      </c>
      <c r="D2170" s="750" t="s">
        <v>126</v>
      </c>
      <c r="E2170" s="750">
        <f t="shared" si="69"/>
        <v>70</v>
      </c>
      <c r="F2170" s="453" t="s">
        <v>782</v>
      </c>
      <c r="G2170" s="453">
        <v>0</v>
      </c>
      <c r="H2170" s="453">
        <v>70</v>
      </c>
      <c r="I2170" s="452">
        <v>0</v>
      </c>
      <c r="J2170" s="131">
        <v>0</v>
      </c>
    </row>
    <row r="2171" spans="1:10" ht="31.5">
      <c r="A2171" s="453">
        <v>34</v>
      </c>
      <c r="B2171" s="765" t="s">
        <v>755</v>
      </c>
      <c r="C2171" s="750" t="s">
        <v>756</v>
      </c>
      <c r="D2171" s="750" t="s">
        <v>126</v>
      </c>
      <c r="E2171" s="750">
        <f t="shared" si="69"/>
        <v>200</v>
      </c>
      <c r="F2171" s="453" t="s">
        <v>783</v>
      </c>
      <c r="G2171" s="453">
        <v>0</v>
      </c>
      <c r="H2171" s="453">
        <v>200</v>
      </c>
      <c r="I2171" s="452">
        <v>0</v>
      </c>
      <c r="J2171" s="131">
        <v>0</v>
      </c>
    </row>
    <row r="2172" spans="1:10" ht="141.75">
      <c r="A2172" s="453">
        <v>35</v>
      </c>
      <c r="B2172" s="765" t="s">
        <v>757</v>
      </c>
      <c r="C2172" s="750" t="s">
        <v>758</v>
      </c>
      <c r="D2172" s="750" t="s">
        <v>126</v>
      </c>
      <c r="E2172" s="750">
        <f t="shared" si="69"/>
        <v>50</v>
      </c>
      <c r="F2172" s="453" t="s">
        <v>784</v>
      </c>
      <c r="G2172" s="453">
        <v>0</v>
      </c>
      <c r="H2172" s="453">
        <v>50</v>
      </c>
      <c r="I2172" s="452">
        <v>0</v>
      </c>
      <c r="J2172" s="131">
        <v>0</v>
      </c>
    </row>
    <row r="2173" spans="1:10" ht="63">
      <c r="A2173" s="453">
        <v>36</v>
      </c>
      <c r="B2173" s="765" t="s">
        <v>759</v>
      </c>
      <c r="C2173" s="750" t="s">
        <v>760</v>
      </c>
      <c r="D2173" s="750" t="s">
        <v>126</v>
      </c>
      <c r="E2173" s="750">
        <f t="shared" si="69"/>
        <v>12</v>
      </c>
      <c r="F2173" s="453" t="s">
        <v>785</v>
      </c>
      <c r="G2173" s="453">
        <v>0</v>
      </c>
      <c r="H2173" s="750">
        <v>12</v>
      </c>
      <c r="I2173" s="452">
        <v>0</v>
      </c>
      <c r="J2173" s="131">
        <v>0</v>
      </c>
    </row>
    <row r="2174" spans="1:10" ht="78.75">
      <c r="A2174" s="453">
        <v>37</v>
      </c>
      <c r="B2174" s="784" t="s">
        <v>761</v>
      </c>
      <c r="C2174" s="453" t="s">
        <v>762</v>
      </c>
      <c r="D2174" s="79" t="s">
        <v>126</v>
      </c>
      <c r="E2174" s="750">
        <f t="shared" si="69"/>
        <v>10</v>
      </c>
      <c r="F2174" s="453" t="s">
        <v>786</v>
      </c>
      <c r="G2174" s="453">
        <v>0</v>
      </c>
      <c r="H2174" s="453">
        <v>10</v>
      </c>
      <c r="I2174" s="452">
        <v>0</v>
      </c>
      <c r="J2174" s="131">
        <v>0</v>
      </c>
    </row>
    <row r="2175" spans="1:10" ht="110.25">
      <c r="A2175" s="453">
        <v>38</v>
      </c>
      <c r="B2175" s="784" t="s">
        <v>763</v>
      </c>
      <c r="C2175" s="453" t="s">
        <v>764</v>
      </c>
      <c r="D2175" s="79" t="s">
        <v>126</v>
      </c>
      <c r="E2175" s="750">
        <f t="shared" si="69"/>
        <v>4</v>
      </c>
      <c r="F2175" s="453" t="s">
        <v>787</v>
      </c>
      <c r="G2175" s="453">
        <v>0</v>
      </c>
      <c r="H2175" s="453">
        <v>4</v>
      </c>
      <c r="I2175" s="452">
        <v>0</v>
      </c>
      <c r="J2175" s="131">
        <v>0</v>
      </c>
    </row>
    <row r="2176" spans="1:10" ht="31.5">
      <c r="A2176" s="453">
        <v>39</v>
      </c>
      <c r="B2176" s="784" t="s">
        <v>765</v>
      </c>
      <c r="C2176" s="453" t="s">
        <v>766</v>
      </c>
      <c r="D2176" s="79" t="s">
        <v>126</v>
      </c>
      <c r="E2176" s="750">
        <f t="shared" si="69"/>
        <v>4</v>
      </c>
      <c r="F2176" s="453" t="s">
        <v>788</v>
      </c>
      <c r="G2176" s="453">
        <v>0</v>
      </c>
      <c r="H2176" s="453">
        <v>4</v>
      </c>
      <c r="I2176" s="452">
        <v>0</v>
      </c>
      <c r="J2176" s="131">
        <v>0</v>
      </c>
    </row>
    <row r="2177" spans="1:10" ht="204.75">
      <c r="A2177" s="453">
        <v>40</v>
      </c>
      <c r="B2177" s="784" t="s">
        <v>767</v>
      </c>
      <c r="C2177" s="453" t="s">
        <v>768</v>
      </c>
      <c r="D2177" s="79" t="s">
        <v>126</v>
      </c>
      <c r="E2177" s="750">
        <f t="shared" si="69"/>
        <v>6</v>
      </c>
      <c r="F2177" s="453" t="s">
        <v>789</v>
      </c>
      <c r="G2177" s="453">
        <v>0</v>
      </c>
      <c r="H2177" s="453">
        <v>6</v>
      </c>
      <c r="I2177" s="452">
        <v>0</v>
      </c>
      <c r="J2177" s="131">
        <v>0</v>
      </c>
    </row>
    <row r="2178" spans="1:10" ht="126">
      <c r="A2178" s="453">
        <v>41</v>
      </c>
      <c r="B2178" s="784" t="s">
        <v>769</v>
      </c>
      <c r="C2178" s="453" t="s">
        <v>770</v>
      </c>
      <c r="D2178" s="79" t="s">
        <v>126</v>
      </c>
      <c r="E2178" s="750">
        <f t="shared" si="69"/>
        <v>4</v>
      </c>
      <c r="F2178" s="453" t="s">
        <v>787</v>
      </c>
      <c r="G2178" s="453">
        <v>0</v>
      </c>
      <c r="H2178" s="452">
        <v>4</v>
      </c>
      <c r="I2178" s="452">
        <v>0</v>
      </c>
      <c r="J2178" s="131">
        <v>0</v>
      </c>
    </row>
    <row r="2179" spans="1:10" ht="299.25">
      <c r="A2179" s="453">
        <v>42</v>
      </c>
      <c r="B2179" s="784" t="s">
        <v>771</v>
      </c>
      <c r="C2179" s="453" t="s">
        <v>2712</v>
      </c>
      <c r="D2179" s="79" t="s">
        <v>126</v>
      </c>
      <c r="E2179" s="750">
        <f t="shared" si="69"/>
        <v>3</v>
      </c>
      <c r="F2179" s="453" t="s">
        <v>787</v>
      </c>
      <c r="G2179" s="453">
        <v>0</v>
      </c>
      <c r="H2179" s="452">
        <v>3</v>
      </c>
      <c r="I2179" s="452">
        <v>0</v>
      </c>
      <c r="J2179" s="131">
        <v>0</v>
      </c>
    </row>
    <row r="2180" spans="1:10" ht="141.75">
      <c r="A2180" s="453">
        <v>43</v>
      </c>
      <c r="B2180" s="784" t="s">
        <v>772</v>
      </c>
      <c r="C2180" s="453" t="s">
        <v>2713</v>
      </c>
      <c r="D2180" s="79" t="s">
        <v>126</v>
      </c>
      <c r="E2180" s="750">
        <f t="shared" si="69"/>
        <v>2</v>
      </c>
      <c r="F2180" s="453" t="s">
        <v>787</v>
      </c>
      <c r="G2180" s="453">
        <v>0</v>
      </c>
      <c r="H2180" s="452">
        <v>2</v>
      </c>
      <c r="I2180" s="452">
        <v>0</v>
      </c>
      <c r="J2180" s="131">
        <v>0</v>
      </c>
    </row>
    <row r="2181" spans="1:10" ht="173.25">
      <c r="A2181" s="453">
        <v>44</v>
      </c>
      <c r="B2181" s="773" t="s">
        <v>773</v>
      </c>
      <c r="C2181" s="750" t="s">
        <v>774</v>
      </c>
      <c r="D2181" s="452" t="s">
        <v>286</v>
      </c>
      <c r="E2181" s="750">
        <f t="shared" si="69"/>
        <v>8</v>
      </c>
      <c r="F2181" s="453" t="s">
        <v>790</v>
      </c>
      <c r="G2181" s="453">
        <v>0</v>
      </c>
      <c r="H2181" s="452">
        <v>4</v>
      </c>
      <c r="I2181" s="452">
        <v>4</v>
      </c>
      <c r="J2181" s="131">
        <v>0</v>
      </c>
    </row>
    <row r="2182" spans="1:10" ht="15.75">
      <c r="A2182" s="453">
        <v>45</v>
      </c>
      <c r="B2182" s="773" t="s">
        <v>775</v>
      </c>
      <c r="C2182" s="750" t="s">
        <v>776</v>
      </c>
      <c r="D2182" s="452" t="s">
        <v>286</v>
      </c>
      <c r="E2182" s="750">
        <f t="shared" si="69"/>
        <v>10</v>
      </c>
      <c r="F2182" s="453" t="s">
        <v>780</v>
      </c>
      <c r="G2182" s="453">
        <v>0</v>
      </c>
      <c r="H2182" s="452">
        <v>10</v>
      </c>
      <c r="I2182" s="452">
        <v>0</v>
      </c>
      <c r="J2182" s="131">
        <v>0</v>
      </c>
    </row>
    <row r="2184" spans="1:10" ht="20.25">
      <c r="B2184" s="1071" t="s">
        <v>4691</v>
      </c>
      <c r="C2184" s="1071"/>
      <c r="D2184" s="1071"/>
      <c r="E2184" s="1071"/>
      <c r="F2184" s="1071"/>
      <c r="G2184" s="1071"/>
      <c r="H2184" s="1071"/>
      <c r="I2184" s="1071"/>
      <c r="J2184" s="1071"/>
    </row>
    <row r="2185" spans="1:10" ht="20.25">
      <c r="B2185" s="1071" t="s">
        <v>4692</v>
      </c>
      <c r="C2185" s="1071"/>
      <c r="D2185" s="1071"/>
      <c r="E2185" s="1071"/>
      <c r="F2185" s="1071"/>
      <c r="G2185" s="1071"/>
      <c r="H2185" s="1071"/>
      <c r="I2185" s="1071"/>
      <c r="J2185" s="1071"/>
    </row>
    <row r="2189" spans="1:10" ht="26.25">
      <c r="C2189" s="808" t="s">
        <v>2864</v>
      </c>
      <c r="D2189" s="810"/>
      <c r="E2189" s="810"/>
      <c r="F2189" s="808" t="s">
        <v>2870</v>
      </c>
    </row>
    <row r="2190" spans="1:10" ht="26.25">
      <c r="C2190" s="808"/>
      <c r="D2190" s="810"/>
      <c r="E2190" s="810"/>
      <c r="F2190" s="808" t="s">
        <v>1280</v>
      </c>
    </row>
    <row r="2191" spans="1:10" ht="26.25">
      <c r="C2191" s="808" t="s">
        <v>2865</v>
      </c>
      <c r="D2191" s="810"/>
      <c r="E2191" s="810"/>
      <c r="F2191" s="808" t="s">
        <v>2871</v>
      </c>
    </row>
    <row r="2192" spans="1:10" ht="26.25">
      <c r="C2192" s="808"/>
      <c r="D2192" s="810"/>
      <c r="E2192" s="810"/>
      <c r="F2192" s="808"/>
    </row>
    <row r="2193" spans="3:6" ht="26.25">
      <c r="C2193" s="808" t="s">
        <v>2866</v>
      </c>
      <c r="D2193" s="810"/>
      <c r="E2193" s="810"/>
      <c r="F2193" s="808" t="s">
        <v>2872</v>
      </c>
    </row>
    <row r="2194" spans="3:6" ht="26.25">
      <c r="C2194" s="808"/>
      <c r="D2194" s="810"/>
      <c r="E2194" s="810"/>
      <c r="F2194" s="808"/>
    </row>
    <row r="2195" spans="3:6" ht="26.25">
      <c r="C2195" s="808" t="s">
        <v>2867</v>
      </c>
      <c r="D2195" s="810"/>
      <c r="E2195" s="810"/>
      <c r="F2195" s="808" t="s">
        <v>2873</v>
      </c>
    </row>
    <row r="2196" spans="3:6" ht="26.25">
      <c r="C2196" s="808"/>
      <c r="D2196" s="810"/>
      <c r="E2196" s="810"/>
      <c r="F2196" s="808"/>
    </row>
    <row r="2197" spans="3:6" ht="26.25">
      <c r="C2197" s="808" t="s">
        <v>2868</v>
      </c>
      <c r="D2197" s="810"/>
      <c r="E2197" s="810"/>
      <c r="F2197" s="808" t="s">
        <v>2874</v>
      </c>
    </row>
    <row r="2198" spans="3:6" ht="26.25">
      <c r="C2198" s="808"/>
      <c r="D2198" s="810"/>
      <c r="E2198" s="810"/>
      <c r="F2198" s="808"/>
    </row>
    <row r="2199" spans="3:6" ht="26.25">
      <c r="C2199" s="808" t="s">
        <v>2869</v>
      </c>
      <c r="D2199" s="810"/>
      <c r="E2199" s="810"/>
      <c r="F2199" s="808" t="s">
        <v>2875</v>
      </c>
    </row>
    <row r="2200" spans="3:6">
      <c r="C2200" s="87"/>
      <c r="D2200" s="87"/>
      <c r="E2200" s="87"/>
      <c r="F2200" s="87"/>
    </row>
  </sheetData>
  <autoFilter ref="A7:J1684" xr:uid="{00000000-0009-0000-0000-000001000000}">
    <filterColumn colId="6" showButton="0"/>
    <filterColumn colId="7" showButton="0"/>
    <filterColumn colId="8" showButton="0"/>
  </autoFilter>
  <customSheetViews>
    <customSheetView guid="{750F99BE-5C19-4848-A09A-0E4FD0F9F8FC}" scale="70" showAutoFilter="1" hiddenRows="1" topLeftCell="A12">
      <pane ySplit="3" topLeftCell="A66" activePane="bottomLeft" state="frozen"/>
      <selection pane="bottomLeft" activeCell="C30" sqref="C30"/>
      <pageMargins left="0.7" right="0.7" top="0.75" bottom="0.75" header="0.3" footer="0.3"/>
      <pageSetup paperSize="9" orientation="portrait" verticalDpi="0" r:id="rId1"/>
      <autoFilter ref="A13:J2112" xr:uid="{EF8E3EAF-7EC6-4120-A9B9-8873F3B75855}">
        <filterColumn colId="6" showButton="0"/>
        <filterColumn colId="7" showButton="0"/>
        <filterColumn colId="8" showButton="0"/>
      </autoFilter>
    </customSheetView>
    <customSheetView guid="{DEF9C65D-F8A0-4631-A6BF-69DD462E745F}" scale="70" showAutoFilter="1" hiddenRows="1" topLeftCell="A12">
      <pane ySplit="3" topLeftCell="A66" activePane="bottomLeft" state="frozen"/>
      <selection pane="bottomLeft" activeCell="C30" sqref="C30"/>
      <pageMargins left="0.7" right="0.7" top="0.75" bottom="0.75" header="0.3" footer="0.3"/>
      <pageSetup paperSize="9" orientation="portrait" verticalDpi="0" r:id="rId2"/>
      <autoFilter ref="A13:J2112" xr:uid="{A04D09B5-E68D-4B85-A3C4-0CA9FCAF10FD}">
        <filterColumn colId="6" showButton="0"/>
        <filterColumn colId="7" showButton="0"/>
        <filterColumn colId="8" showButton="0"/>
      </autoFilter>
    </customSheetView>
    <customSheetView guid="{F53706EC-596C-4347-9C22-A701412B0A41}" scale="70" showAutoFilter="1" hiddenRows="1" topLeftCell="A12">
      <pane ySplit="3" topLeftCell="A66" activePane="bottomLeft" state="frozen"/>
      <selection pane="bottomLeft" activeCell="C30" sqref="C30"/>
      <pageMargins left="0.7" right="0.7" top="0.75" bottom="0.75" header="0.3" footer="0.3"/>
      <pageSetup paperSize="9" orientation="portrait" verticalDpi="0" r:id="rId3"/>
      <autoFilter ref="A13:J2112" xr:uid="{3AB03330-8A10-4E1D-AEDF-49113D3D88BD}">
        <filterColumn colId="6" showButton="0"/>
        <filterColumn colId="7" showButton="0"/>
        <filterColumn colId="8" showButton="0"/>
      </autoFilter>
    </customSheetView>
    <customSheetView guid="{93AFD236-396B-4FF3-AB41-05714D8754DB}" scale="70" showAutoFilter="1" hiddenRows="1" topLeftCell="A12">
      <pane ySplit="3" topLeftCell="A66" activePane="bottomLeft" state="frozen"/>
      <selection pane="bottomLeft" activeCell="C30" sqref="C30"/>
      <pageMargins left="0.7" right="0.7" top="0.75" bottom="0.75" header="0.3" footer="0.3"/>
      <pageSetup paperSize="9" orientation="portrait" verticalDpi="0" r:id="rId4"/>
      <autoFilter ref="A13:J2112" xr:uid="{8F3047F3-922E-4422-B868-0E64F3D05D5A}">
        <filterColumn colId="6" showButton="0"/>
        <filterColumn colId="7" showButton="0"/>
        <filterColumn colId="8" showButton="0"/>
      </autoFilter>
    </customSheetView>
  </customSheetViews>
  <mergeCells count="99">
    <mergeCell ref="F1:J1"/>
    <mergeCell ref="F2:J2"/>
    <mergeCell ref="F3:J3"/>
    <mergeCell ref="F4:J4"/>
    <mergeCell ref="B2184:J2184"/>
    <mergeCell ref="A9:J9"/>
    <mergeCell ref="A146:J146"/>
    <mergeCell ref="A183:J183"/>
    <mergeCell ref="A1395:J1395"/>
    <mergeCell ref="A1641:J1641"/>
    <mergeCell ref="A1478:J1478"/>
    <mergeCell ref="A1602:J1602"/>
    <mergeCell ref="A1615:J1615"/>
    <mergeCell ref="A1624:J1624"/>
    <mergeCell ref="A1396:J1396"/>
    <mergeCell ref="A446:J446"/>
    <mergeCell ref="B2185:J2185"/>
    <mergeCell ref="A1953:J1953"/>
    <mergeCell ref="A2137:J2137"/>
    <mergeCell ref="A1663:J1663"/>
    <mergeCell ref="A1421:J1421"/>
    <mergeCell ref="A1432:J1432"/>
    <mergeCell ref="A1506:J1506"/>
    <mergeCell ref="A1537:J1537"/>
    <mergeCell ref="A1550:J1550"/>
    <mergeCell ref="A1567:J1567"/>
    <mergeCell ref="A1572:J1572"/>
    <mergeCell ref="A1647:J1647"/>
    <mergeCell ref="A1437:J1437"/>
    <mergeCell ref="A1442:J1442"/>
    <mergeCell ref="A1458:J1458"/>
    <mergeCell ref="A1459:J1459"/>
    <mergeCell ref="A5:J6"/>
    <mergeCell ref="A692:J692"/>
    <mergeCell ref="A713:J713"/>
    <mergeCell ref="A720:J720"/>
    <mergeCell ref="G7:J7"/>
    <mergeCell ref="A7:A8"/>
    <mergeCell ref="B7:B8"/>
    <mergeCell ref="C7:C8"/>
    <mergeCell ref="D7:D8"/>
    <mergeCell ref="E7:E8"/>
    <mergeCell ref="F7:F8"/>
    <mergeCell ref="A487:J487"/>
    <mergeCell ref="A196:J196"/>
    <mergeCell ref="A199:J199"/>
    <mergeCell ref="A145:J145"/>
    <mergeCell ref="A345:J345"/>
    <mergeCell ref="A379:J379"/>
    <mergeCell ref="A660:J660"/>
    <mergeCell ref="A677:J677"/>
    <mergeCell ref="A682:J682"/>
    <mergeCell ref="A447:J447"/>
    <mergeCell ref="A1254:J1254"/>
    <mergeCell ref="A686:J686"/>
    <mergeCell ref="A687:J687"/>
    <mergeCell ref="A490:J490"/>
    <mergeCell ref="A494:J494"/>
    <mergeCell ref="A501:J501"/>
    <mergeCell ref="A502:J502"/>
    <mergeCell ref="A631:J631"/>
    <mergeCell ref="F1128:F1129"/>
    <mergeCell ref="F1130:F1131"/>
    <mergeCell ref="A721:J721"/>
    <mergeCell ref="A724:J724"/>
    <mergeCell ref="A1124:J1124"/>
    <mergeCell ref="A737:J737"/>
    <mergeCell ref="A1839:J1839"/>
    <mergeCell ref="A1280:J1280"/>
    <mergeCell ref="A1685:J1685"/>
    <mergeCell ref="A1801:J1801"/>
    <mergeCell ref="A1824:J1824"/>
    <mergeCell ref="A1340:J1340"/>
    <mergeCell ref="A1335:J1335"/>
    <mergeCell ref="A1336:J1336"/>
    <mergeCell ref="A1388:J1388"/>
    <mergeCell ref="A1358:J1358"/>
    <mergeCell ref="A1362:J1362"/>
    <mergeCell ref="A1368:J1368"/>
    <mergeCell ref="A1373:J1373"/>
    <mergeCell ref="A1378:J1378"/>
    <mergeCell ref="A1384:J1384"/>
    <mergeCell ref="A1283:J1283"/>
    <mergeCell ref="A1988:J1988"/>
    <mergeCell ref="F11:F12"/>
    <mergeCell ref="F18:F20"/>
    <mergeCell ref="F31:F32"/>
    <mergeCell ref="A1686:J1686"/>
    <mergeCell ref="A1838:J1838"/>
    <mergeCell ref="A751:J751"/>
    <mergeCell ref="A889:J889"/>
    <mergeCell ref="A906:J906"/>
    <mergeCell ref="A1006:J1006"/>
    <mergeCell ref="A1028:J1028"/>
    <mergeCell ref="A1107:J1107"/>
    <mergeCell ref="A1150:J1150"/>
    <mergeCell ref="A1180:J1180"/>
    <mergeCell ref="A1246:J1246"/>
    <mergeCell ref="A1248:J1248"/>
  </mergeCells>
  <conditionalFormatting sqref="A1421">
    <cfRule type="duplicateValues" dxfId="1" priority="1"/>
  </conditionalFormatting>
  <hyperlinks>
    <hyperlink ref="C703" r:id="rId5" display="http://docs.cntd.ru/document/1200100953" xr:uid="{00000000-0004-0000-0100-000000000000}"/>
    <hyperlink ref="C705" r:id="rId6" display="https://аир.com.ua/katalog_elektrodvigatelei_air/air-112m2-7-5-kvt-3000-ob-min/" xr:uid="{00000000-0004-0000-0100-000001000000}"/>
  </hyperlinks>
  <pageMargins left="0.23622047244094491" right="0.23622047244094491" top="0.74803149606299213" bottom="0.74803149606299213" header="0.31496062992125984" footer="0.31496062992125984"/>
  <pageSetup paperSize="9" scale="50" fitToWidth="0" orientation="landscape" verticalDpi="0" r:id="rId7"/>
  <rowBreaks count="1" manualBreakCount="1">
    <brk id="2176" max="9"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V1053"/>
  <sheetViews>
    <sheetView zoomScale="55" zoomScaleNormal="55" workbookViewId="0">
      <pane ySplit="2" topLeftCell="A3" activePane="bottomLeft" state="frozen"/>
      <selection activeCell="B1" sqref="B1"/>
      <selection pane="bottomLeft" activeCell="AD1" sqref="AD1:AN1048576"/>
    </sheetView>
  </sheetViews>
  <sheetFormatPr defaultColWidth="9.140625" defaultRowHeight="15.75"/>
  <cols>
    <col min="1" max="1" width="9.140625" style="75"/>
    <col min="2" max="2" width="61" style="5" customWidth="1"/>
    <col min="3" max="3" width="11.28515625" style="6" customWidth="1"/>
    <col min="4" max="4" width="5.5703125" style="6" customWidth="1"/>
    <col min="5" max="5" width="31.85546875" style="6" customWidth="1"/>
    <col min="6" max="6" width="74.28515625" style="6" customWidth="1"/>
    <col min="7" max="7" width="21.42578125" style="6" customWidth="1"/>
    <col min="8" max="8" width="13" style="6" hidden="1" customWidth="1"/>
    <col min="9" max="9" width="45.28515625" style="6" hidden="1" customWidth="1"/>
    <col min="10" max="10" width="8.7109375" style="6" hidden="1" customWidth="1"/>
    <col min="11" max="11" width="9.28515625" style="6" hidden="1" customWidth="1"/>
    <col min="12" max="12" width="8.42578125" style="1" customWidth="1"/>
    <col min="13" max="13" width="8.140625" style="2" customWidth="1"/>
    <col min="14" max="14" width="4.85546875" style="2" hidden="1" customWidth="1"/>
    <col min="15" max="15" width="5.85546875" style="3" hidden="1" customWidth="1"/>
    <col min="16" max="16" width="7.140625" style="4" hidden="1" customWidth="1"/>
    <col min="17" max="17" width="7.140625" style="3" hidden="1" customWidth="1"/>
    <col min="18" max="18" width="4.85546875" style="3" hidden="1" customWidth="1"/>
    <col min="19" max="19" width="7.140625" style="4" hidden="1" customWidth="1"/>
    <col min="20" max="20" width="5.28515625" style="3" hidden="1" customWidth="1"/>
    <col min="21" max="21" width="9.42578125" style="3" hidden="1" customWidth="1"/>
    <col min="22" max="22" width="7.140625" style="3" hidden="1" customWidth="1"/>
    <col min="23" max="23" width="7.140625" style="4" hidden="1" customWidth="1"/>
    <col min="24" max="25" width="9.42578125" style="3" hidden="1" customWidth="1"/>
    <col min="26" max="26" width="7.42578125" style="4" hidden="1" customWidth="1"/>
    <col min="27" max="27" width="10" style="4" hidden="1" customWidth="1"/>
    <col min="28" max="28" width="16.7109375" style="6" hidden="1" customWidth="1"/>
    <col min="29" max="29" width="17.7109375" style="6" hidden="1" customWidth="1"/>
    <col min="30" max="30" width="26.42578125" style="6" hidden="1" customWidth="1"/>
    <col min="31" max="31" width="30.5703125" style="6" hidden="1" customWidth="1"/>
    <col min="32" max="32" width="32.5703125" style="6" hidden="1" customWidth="1"/>
    <col min="33" max="33" width="36.85546875" style="6" hidden="1" customWidth="1"/>
    <col min="34" max="34" width="39.42578125" style="6" hidden="1" customWidth="1"/>
    <col min="35" max="35" width="20.85546875" style="6" hidden="1" customWidth="1"/>
    <col min="36" max="36" width="23.85546875" style="75" hidden="1" customWidth="1"/>
    <col min="37" max="37" width="18.28515625" style="75" hidden="1" customWidth="1"/>
    <col min="38" max="38" width="19.42578125" style="6" hidden="1" customWidth="1"/>
    <col min="39" max="39" width="11" style="6" hidden="1" customWidth="1"/>
    <col min="40" max="40" width="19.5703125" style="6" hidden="1" customWidth="1"/>
    <col min="41" max="47" width="9.140625" style="6"/>
    <col min="48" max="48" width="20.140625" style="6" bestFit="1" customWidth="1"/>
    <col min="49" max="16384" width="9.140625" style="6"/>
  </cols>
  <sheetData>
    <row r="1" spans="1:48" ht="20.25">
      <c r="A1" s="1091" t="s">
        <v>595</v>
      </c>
      <c r="B1" s="1094" t="s">
        <v>273</v>
      </c>
      <c r="C1" s="1094" t="s">
        <v>1</v>
      </c>
      <c r="D1" s="1116" t="s">
        <v>595</v>
      </c>
      <c r="E1" s="1094" t="s">
        <v>272</v>
      </c>
      <c r="F1" s="1094" t="s">
        <v>273</v>
      </c>
      <c r="G1" s="1094" t="s">
        <v>1</v>
      </c>
      <c r="H1" s="1094" t="s">
        <v>274</v>
      </c>
      <c r="I1" s="1096" t="s">
        <v>275</v>
      </c>
      <c r="J1" s="1095" t="s">
        <v>2</v>
      </c>
      <c r="K1" s="1095"/>
      <c r="L1" s="1095"/>
      <c r="M1" s="1095"/>
      <c r="N1" s="1099" t="s">
        <v>146</v>
      </c>
      <c r="O1" s="1097" t="s">
        <v>128</v>
      </c>
      <c r="P1" s="1097" t="s">
        <v>129</v>
      </c>
      <c r="Q1" s="1097" t="s">
        <v>130</v>
      </c>
      <c r="R1" s="1099" t="s">
        <v>147</v>
      </c>
      <c r="S1" s="1097" t="s">
        <v>131</v>
      </c>
      <c r="T1" s="1097" t="s">
        <v>132</v>
      </c>
      <c r="U1" s="1099" t="s">
        <v>148</v>
      </c>
      <c r="V1" s="1097" t="s">
        <v>133</v>
      </c>
      <c r="W1" s="1108" t="s">
        <v>134</v>
      </c>
      <c r="X1" s="1097" t="s">
        <v>135</v>
      </c>
      <c r="Y1" s="1099" t="s">
        <v>149</v>
      </c>
      <c r="Z1" s="1108" t="s">
        <v>136</v>
      </c>
      <c r="AA1" s="1108" t="s">
        <v>137</v>
      </c>
      <c r="AB1" s="1117" t="s">
        <v>138</v>
      </c>
      <c r="AC1" s="1117" t="s">
        <v>139</v>
      </c>
      <c r="AD1" s="1093" t="s">
        <v>2881</v>
      </c>
      <c r="AE1" s="1093" t="s">
        <v>2882</v>
      </c>
      <c r="AF1" s="1093" t="s">
        <v>2883</v>
      </c>
      <c r="AG1" s="1093" t="s">
        <v>2884</v>
      </c>
      <c r="AH1" s="1093" t="s">
        <v>2885</v>
      </c>
      <c r="AI1" s="1093" t="s">
        <v>2886</v>
      </c>
      <c r="AJ1" s="1090" t="s">
        <v>4230</v>
      </c>
      <c r="AK1" s="1088" t="s">
        <v>4700</v>
      </c>
      <c r="AL1" s="1090" t="s">
        <v>4701</v>
      </c>
      <c r="AM1" s="1090" t="s">
        <v>4702</v>
      </c>
      <c r="AN1" s="1090" t="s">
        <v>2882</v>
      </c>
    </row>
    <row r="2" spans="1:48" ht="60.75">
      <c r="A2" s="1092"/>
      <c r="B2" s="1094"/>
      <c r="C2" s="1094"/>
      <c r="D2" s="1116"/>
      <c r="E2" s="1094"/>
      <c r="F2" s="1094"/>
      <c r="G2" s="1094"/>
      <c r="H2" s="1094"/>
      <c r="I2" s="1096"/>
      <c r="J2" s="246" t="s">
        <v>3</v>
      </c>
      <c r="K2" s="246" t="s">
        <v>4</v>
      </c>
      <c r="L2" s="246" t="s">
        <v>5</v>
      </c>
      <c r="M2" s="246" t="s">
        <v>6</v>
      </c>
      <c r="N2" s="1100"/>
      <c r="O2" s="1098"/>
      <c r="P2" s="1098"/>
      <c r="Q2" s="1098"/>
      <c r="R2" s="1100"/>
      <c r="S2" s="1098"/>
      <c r="T2" s="1098"/>
      <c r="U2" s="1100"/>
      <c r="V2" s="1098"/>
      <c r="W2" s="1109"/>
      <c r="X2" s="1098"/>
      <c r="Y2" s="1100"/>
      <c r="Z2" s="1109"/>
      <c r="AA2" s="1109"/>
      <c r="AB2" s="1118"/>
      <c r="AC2" s="1118"/>
      <c r="AD2" s="1093"/>
      <c r="AE2" s="1093"/>
      <c r="AF2" s="1093"/>
      <c r="AG2" s="1093"/>
      <c r="AH2" s="1093"/>
      <c r="AI2" s="1093"/>
      <c r="AJ2" s="1090"/>
      <c r="AK2" s="1089"/>
      <c r="AL2" s="1090"/>
      <c r="AM2" s="1090"/>
      <c r="AN2" s="1090"/>
    </row>
    <row r="3" spans="1:48" s="5" customFormat="1" ht="182.25">
      <c r="A3" s="895"/>
      <c r="B3" s="247" t="s">
        <v>19</v>
      </c>
      <c r="C3" s="247" t="s">
        <v>21</v>
      </c>
      <c r="D3" s="349">
        <v>1</v>
      </c>
      <c r="E3" s="350" t="s">
        <v>18</v>
      </c>
      <c r="F3" s="247" t="s">
        <v>19</v>
      </c>
      <c r="G3" s="247" t="s">
        <v>21</v>
      </c>
      <c r="H3" s="248">
        <f>SUM(H4:H9)</f>
        <v>1276</v>
      </c>
      <c r="I3" s="249"/>
      <c r="J3" s="664">
        <f>J4+J5+J6+J7+J8+J9</f>
        <v>381</v>
      </c>
      <c r="K3" s="664">
        <f>K4+K5+K6+K7+K8+K9</f>
        <v>456</v>
      </c>
      <c r="L3" s="664">
        <f>L4+L5+L6+L7+L8+L9</f>
        <v>439</v>
      </c>
      <c r="M3" s="250">
        <f t="shared" ref="M3:AC3" si="0">M4+M5+M6+M7+M8+M9</f>
        <v>0</v>
      </c>
      <c r="N3" s="251">
        <f t="shared" si="0"/>
        <v>150</v>
      </c>
      <c r="O3" s="251">
        <f t="shared" si="0"/>
        <v>50</v>
      </c>
      <c r="P3" s="251">
        <f t="shared" si="0"/>
        <v>50</v>
      </c>
      <c r="Q3" s="251">
        <f t="shared" si="0"/>
        <v>50</v>
      </c>
      <c r="R3" s="251">
        <f t="shared" si="0"/>
        <v>43</v>
      </c>
      <c r="S3" s="251">
        <f t="shared" si="0"/>
        <v>22</v>
      </c>
      <c r="T3" s="251">
        <f t="shared" si="0"/>
        <v>21</v>
      </c>
      <c r="U3" s="251">
        <f t="shared" si="0"/>
        <v>150</v>
      </c>
      <c r="V3" s="251">
        <f t="shared" si="0"/>
        <v>52</v>
      </c>
      <c r="W3" s="251">
        <f t="shared" si="0"/>
        <v>42</v>
      </c>
      <c r="X3" s="251">
        <f t="shared" si="0"/>
        <v>56</v>
      </c>
      <c r="Y3" s="251">
        <f t="shared" si="0"/>
        <v>91</v>
      </c>
      <c r="Z3" s="251">
        <f t="shared" si="0"/>
        <v>49</v>
      </c>
      <c r="AA3" s="251">
        <f t="shared" si="0"/>
        <v>42</v>
      </c>
      <c r="AB3" s="251">
        <f t="shared" si="0"/>
        <v>30</v>
      </c>
      <c r="AC3" s="252">
        <f t="shared" si="0"/>
        <v>0</v>
      </c>
      <c r="AD3" s="253"/>
      <c r="AE3" s="254">
        <f>SUM(AE4:AE9)</f>
        <v>54021450</v>
      </c>
      <c r="AF3" s="255">
        <f>SUM(AF4:AF9)</f>
        <v>16254810</v>
      </c>
      <c r="AG3" s="256">
        <f>SUM(AG4:AG9)</f>
        <v>20564900</v>
      </c>
      <c r="AH3" s="255">
        <f>SUM(AH4:AH9)</f>
        <v>17201740</v>
      </c>
      <c r="AI3" s="257"/>
      <c r="AJ3" s="914"/>
      <c r="AK3" s="916" t="s">
        <v>4731</v>
      </c>
      <c r="AL3" s="915">
        <v>30</v>
      </c>
      <c r="AM3" s="915">
        <f>H3-AL3</f>
        <v>1246</v>
      </c>
      <c r="AN3" s="399">
        <v>3948672</v>
      </c>
    </row>
    <row r="4" spans="1:48" ht="222.75">
      <c r="A4" s="38">
        <v>1</v>
      </c>
      <c r="B4" s="258" t="s">
        <v>2720</v>
      </c>
      <c r="C4" s="258" t="s">
        <v>21</v>
      </c>
      <c r="D4" s="260">
        <v>1</v>
      </c>
      <c r="E4" s="351" t="s">
        <v>20</v>
      </c>
      <c r="F4" s="258" t="s">
        <v>2720</v>
      </c>
      <c r="G4" s="258" t="s">
        <v>21</v>
      </c>
      <c r="H4" s="419">
        <v>78</v>
      </c>
      <c r="I4" s="258" t="s">
        <v>224</v>
      </c>
      <c r="J4" s="346">
        <v>24</v>
      </c>
      <c r="K4" s="346">
        <v>30</v>
      </c>
      <c r="L4" s="346">
        <v>24</v>
      </c>
      <c r="M4" s="260"/>
      <c r="N4" s="261">
        <f t="shared" ref="N4:N9" si="1">O4+P4+Q4</f>
        <v>30</v>
      </c>
      <c r="O4" s="262">
        <v>10</v>
      </c>
      <c r="P4" s="262">
        <v>10</v>
      </c>
      <c r="Q4" s="262">
        <v>10</v>
      </c>
      <c r="R4" s="261">
        <f t="shared" ref="R4:R9" si="2">S4+T4</f>
        <v>0</v>
      </c>
      <c r="S4" s="262"/>
      <c r="T4" s="262"/>
      <c r="U4" s="261">
        <f t="shared" ref="U4:U9" si="3">V4+W4+X4</f>
        <v>18</v>
      </c>
      <c r="V4" s="262">
        <v>5</v>
      </c>
      <c r="W4" s="262">
        <v>5</v>
      </c>
      <c r="X4" s="262">
        <v>8</v>
      </c>
      <c r="Y4" s="261">
        <f t="shared" ref="Y4:Y9" si="4">Z4+AA4</f>
        <v>25</v>
      </c>
      <c r="Z4" s="262">
        <v>15</v>
      </c>
      <c r="AA4" s="262">
        <v>10</v>
      </c>
      <c r="AB4" s="261">
        <v>5</v>
      </c>
      <c r="AC4" s="263"/>
      <c r="AD4" s="264">
        <v>224710</v>
      </c>
      <c r="AE4" s="265">
        <f t="shared" ref="AE4:AE9" si="5">AD4*H4</f>
        <v>17527380</v>
      </c>
      <c r="AF4" s="266">
        <f t="shared" ref="AF4:AF9" si="6">AD4*J4</f>
        <v>5393040</v>
      </c>
      <c r="AG4" s="267">
        <f t="shared" ref="AG4:AG9" si="7">AD4*K4</f>
        <v>6741300</v>
      </c>
      <c r="AH4" s="268">
        <f t="shared" ref="AH4:AH9" si="8">AD4*L4</f>
        <v>5393040</v>
      </c>
      <c r="AI4" s="269">
        <f t="shared" ref="AI4:AI9" si="9">AD4*M4</f>
        <v>0</v>
      </c>
      <c r="AJ4" s="827" t="s">
        <v>4228</v>
      </c>
      <c r="AK4" s="915"/>
      <c r="AL4" s="915"/>
      <c r="AM4" s="915">
        <f t="shared" ref="AM4:AM67" si="10">H4-AL4</f>
        <v>78</v>
      </c>
      <c r="AN4" s="399"/>
      <c r="AV4" s="450"/>
    </row>
    <row r="5" spans="1:48" ht="182.25">
      <c r="A5" s="38">
        <v>2</v>
      </c>
      <c r="B5" s="258" t="s">
        <v>4732</v>
      </c>
      <c r="C5" s="258" t="s">
        <v>126</v>
      </c>
      <c r="D5" s="260">
        <v>2</v>
      </c>
      <c r="E5" s="351" t="s">
        <v>22</v>
      </c>
      <c r="F5" s="258" t="s">
        <v>4732</v>
      </c>
      <c r="G5" s="258" t="s">
        <v>126</v>
      </c>
      <c r="H5" s="456">
        <f>J5+K5+L5+M5</f>
        <v>80</v>
      </c>
      <c r="I5" s="1101" t="s">
        <v>223</v>
      </c>
      <c r="J5" s="346">
        <v>20</v>
      </c>
      <c r="K5" s="346">
        <v>35</v>
      </c>
      <c r="L5" s="346">
        <v>25</v>
      </c>
      <c r="M5" s="260"/>
      <c r="N5" s="261">
        <f t="shared" si="1"/>
        <v>24</v>
      </c>
      <c r="O5" s="262">
        <v>8</v>
      </c>
      <c r="P5" s="262">
        <v>8</v>
      </c>
      <c r="Q5" s="262">
        <v>8</v>
      </c>
      <c r="R5" s="261">
        <f t="shared" si="2"/>
        <v>12</v>
      </c>
      <c r="S5" s="262">
        <v>6</v>
      </c>
      <c r="T5" s="262">
        <v>6</v>
      </c>
      <c r="U5" s="261">
        <f t="shared" si="3"/>
        <v>24</v>
      </c>
      <c r="V5" s="262">
        <v>8</v>
      </c>
      <c r="W5" s="262">
        <v>8</v>
      </c>
      <c r="X5" s="262">
        <v>8</v>
      </c>
      <c r="Y5" s="261">
        <f t="shared" si="4"/>
        <v>20</v>
      </c>
      <c r="Z5" s="262">
        <v>10</v>
      </c>
      <c r="AA5" s="262">
        <v>10</v>
      </c>
      <c r="AB5" s="261"/>
      <c r="AC5" s="263"/>
      <c r="AD5" s="264">
        <v>77290</v>
      </c>
      <c r="AE5" s="265">
        <f t="shared" si="5"/>
        <v>6183200</v>
      </c>
      <c r="AF5" s="266">
        <f t="shared" si="6"/>
        <v>1545800</v>
      </c>
      <c r="AG5" s="267">
        <f t="shared" si="7"/>
        <v>2705150</v>
      </c>
      <c r="AH5" s="268">
        <f t="shared" si="8"/>
        <v>1932250</v>
      </c>
      <c r="AI5" s="269">
        <f t="shared" si="9"/>
        <v>0</v>
      </c>
      <c r="AJ5" s="827" t="s">
        <v>4228</v>
      </c>
      <c r="AK5" s="916" t="s">
        <v>4731</v>
      </c>
      <c r="AL5" s="915">
        <v>35</v>
      </c>
      <c r="AM5" s="915">
        <f t="shared" si="10"/>
        <v>45</v>
      </c>
      <c r="AN5" s="399">
        <v>4520320</v>
      </c>
    </row>
    <row r="6" spans="1:48" ht="182.25">
      <c r="A6" s="38">
        <v>3</v>
      </c>
      <c r="B6" s="258" t="s">
        <v>2722</v>
      </c>
      <c r="C6" s="258" t="s">
        <v>126</v>
      </c>
      <c r="D6" s="260">
        <v>3</v>
      </c>
      <c r="E6" s="351" t="s">
        <v>22</v>
      </c>
      <c r="F6" s="258" t="s">
        <v>2722</v>
      </c>
      <c r="G6" s="258" t="s">
        <v>126</v>
      </c>
      <c r="H6" s="419">
        <v>81</v>
      </c>
      <c r="I6" s="1103"/>
      <c r="J6" s="346">
        <v>25</v>
      </c>
      <c r="K6" s="346">
        <v>28</v>
      </c>
      <c r="L6" s="346">
        <v>28</v>
      </c>
      <c r="M6" s="260"/>
      <c r="N6" s="261">
        <f t="shared" si="1"/>
        <v>24</v>
      </c>
      <c r="O6" s="262">
        <v>8</v>
      </c>
      <c r="P6" s="262">
        <v>8</v>
      </c>
      <c r="Q6" s="262">
        <v>8</v>
      </c>
      <c r="R6" s="261">
        <f t="shared" si="2"/>
        <v>10</v>
      </c>
      <c r="S6" s="262">
        <v>5</v>
      </c>
      <c r="T6" s="262">
        <v>5</v>
      </c>
      <c r="U6" s="261">
        <f t="shared" si="3"/>
        <v>21</v>
      </c>
      <c r="V6" s="262">
        <v>7</v>
      </c>
      <c r="W6" s="262">
        <v>7</v>
      </c>
      <c r="X6" s="262">
        <v>7</v>
      </c>
      <c r="Y6" s="261">
        <f t="shared" si="4"/>
        <v>16</v>
      </c>
      <c r="Z6" s="262">
        <v>8</v>
      </c>
      <c r="AA6" s="262">
        <v>8</v>
      </c>
      <c r="AB6" s="261">
        <v>10</v>
      </c>
      <c r="AC6" s="263"/>
      <c r="AD6" s="264">
        <v>90160</v>
      </c>
      <c r="AE6" s="265">
        <f t="shared" si="5"/>
        <v>7302960</v>
      </c>
      <c r="AF6" s="266">
        <f t="shared" si="6"/>
        <v>2254000</v>
      </c>
      <c r="AG6" s="267">
        <f t="shared" si="7"/>
        <v>2524480</v>
      </c>
      <c r="AH6" s="268">
        <f t="shared" si="8"/>
        <v>2524480</v>
      </c>
      <c r="AI6" s="269">
        <f t="shared" si="9"/>
        <v>0</v>
      </c>
      <c r="AJ6" s="827" t="s">
        <v>4228</v>
      </c>
      <c r="AK6" s="916" t="s">
        <v>4731</v>
      </c>
      <c r="AL6" s="915">
        <v>28</v>
      </c>
      <c r="AM6" s="915">
        <f t="shared" si="10"/>
        <v>53</v>
      </c>
      <c r="AN6" s="399">
        <v>3973222.3999999999</v>
      </c>
    </row>
    <row r="7" spans="1:48" ht="121.5">
      <c r="A7" s="38">
        <v>4</v>
      </c>
      <c r="B7" s="258" t="s">
        <v>2723</v>
      </c>
      <c r="C7" s="258" t="s">
        <v>126</v>
      </c>
      <c r="D7" s="260">
        <v>4</v>
      </c>
      <c r="E7" s="351" t="s">
        <v>23</v>
      </c>
      <c r="F7" s="258" t="s">
        <v>2723</v>
      </c>
      <c r="G7" s="258" t="s">
        <v>126</v>
      </c>
      <c r="H7" s="456">
        <f>J7+K7+L7+M7</f>
        <v>27</v>
      </c>
      <c r="I7" s="258" t="s">
        <v>222</v>
      </c>
      <c r="J7" s="346">
        <v>9</v>
      </c>
      <c r="K7" s="346">
        <v>9</v>
      </c>
      <c r="L7" s="346">
        <v>9</v>
      </c>
      <c r="M7" s="260"/>
      <c r="N7" s="261">
        <f t="shared" si="1"/>
        <v>9</v>
      </c>
      <c r="O7" s="262">
        <v>3</v>
      </c>
      <c r="P7" s="262">
        <v>3</v>
      </c>
      <c r="Q7" s="262">
        <v>3</v>
      </c>
      <c r="R7" s="261">
        <f t="shared" si="2"/>
        <v>0</v>
      </c>
      <c r="S7" s="262"/>
      <c r="T7" s="262"/>
      <c r="U7" s="261">
        <f t="shared" si="3"/>
        <v>6</v>
      </c>
      <c r="V7" s="262">
        <v>2</v>
      </c>
      <c r="W7" s="262">
        <v>2</v>
      </c>
      <c r="X7" s="262">
        <v>2</v>
      </c>
      <c r="Y7" s="261">
        <f t="shared" si="4"/>
        <v>10</v>
      </c>
      <c r="Z7" s="262">
        <v>5</v>
      </c>
      <c r="AA7" s="262">
        <v>5</v>
      </c>
      <c r="AB7" s="261">
        <v>2</v>
      </c>
      <c r="AC7" s="263"/>
      <c r="AD7" s="264">
        <v>177330</v>
      </c>
      <c r="AE7" s="265">
        <f t="shared" si="5"/>
        <v>4787910</v>
      </c>
      <c r="AF7" s="266">
        <f t="shared" si="6"/>
        <v>1595970</v>
      </c>
      <c r="AG7" s="267">
        <f t="shared" si="7"/>
        <v>1595970</v>
      </c>
      <c r="AH7" s="268">
        <f t="shared" si="8"/>
        <v>1595970</v>
      </c>
      <c r="AI7" s="269">
        <f t="shared" si="9"/>
        <v>0</v>
      </c>
      <c r="AJ7" s="827" t="s">
        <v>4228</v>
      </c>
      <c r="AK7" s="916" t="s">
        <v>4731</v>
      </c>
      <c r="AL7" s="915">
        <v>9</v>
      </c>
      <c r="AM7" s="915">
        <f t="shared" si="10"/>
        <v>18</v>
      </c>
      <c r="AN7" s="399">
        <v>2430720</v>
      </c>
    </row>
    <row r="8" spans="1:48" ht="81">
      <c r="A8" s="38">
        <v>5</v>
      </c>
      <c r="B8" s="258" t="s">
        <v>2724</v>
      </c>
      <c r="C8" s="258" t="s">
        <v>126</v>
      </c>
      <c r="D8" s="260">
        <v>5</v>
      </c>
      <c r="E8" s="351" t="s">
        <v>24</v>
      </c>
      <c r="F8" s="258" t="s">
        <v>2724</v>
      </c>
      <c r="G8" s="258" t="s">
        <v>126</v>
      </c>
      <c r="H8" s="456">
        <f>J8+K8+L8+M8</f>
        <v>10</v>
      </c>
      <c r="I8" s="258" t="s">
        <v>221</v>
      </c>
      <c r="J8" s="346">
        <v>3</v>
      </c>
      <c r="K8" s="346">
        <v>4</v>
      </c>
      <c r="L8" s="346">
        <v>3</v>
      </c>
      <c r="M8" s="260"/>
      <c r="N8" s="261">
        <f t="shared" si="1"/>
        <v>3</v>
      </c>
      <c r="O8" s="262">
        <v>1</v>
      </c>
      <c r="P8" s="262">
        <v>1</v>
      </c>
      <c r="Q8" s="262">
        <v>1</v>
      </c>
      <c r="R8" s="261">
        <f t="shared" si="2"/>
        <v>1</v>
      </c>
      <c r="S8" s="262">
        <v>1</v>
      </c>
      <c r="T8" s="262"/>
      <c r="U8" s="261">
        <f t="shared" si="3"/>
        <v>1</v>
      </c>
      <c r="V8" s="262"/>
      <c r="W8" s="262"/>
      <c r="X8" s="262">
        <v>1</v>
      </c>
      <c r="Y8" s="261">
        <f t="shared" si="4"/>
        <v>2</v>
      </c>
      <c r="Z8" s="262">
        <v>1</v>
      </c>
      <c r="AA8" s="262">
        <v>1</v>
      </c>
      <c r="AB8" s="261">
        <v>3</v>
      </c>
      <c r="AC8" s="263"/>
      <c r="AD8" s="264">
        <v>1242000</v>
      </c>
      <c r="AE8" s="265">
        <f t="shared" si="5"/>
        <v>12420000</v>
      </c>
      <c r="AF8" s="266">
        <f t="shared" si="6"/>
        <v>3726000</v>
      </c>
      <c r="AG8" s="267">
        <f t="shared" si="7"/>
        <v>4968000</v>
      </c>
      <c r="AH8" s="268">
        <f t="shared" si="8"/>
        <v>3726000</v>
      </c>
      <c r="AI8" s="269">
        <f t="shared" si="9"/>
        <v>0</v>
      </c>
      <c r="AJ8" s="827" t="s">
        <v>4228</v>
      </c>
      <c r="AK8" s="916" t="s">
        <v>4731</v>
      </c>
      <c r="AL8" s="915">
        <v>4</v>
      </c>
      <c r="AM8" s="915">
        <f t="shared" si="10"/>
        <v>6</v>
      </c>
      <c r="AN8" s="399">
        <v>7454720</v>
      </c>
    </row>
    <row r="9" spans="1:48" ht="101.25">
      <c r="A9" s="38">
        <v>6</v>
      </c>
      <c r="B9" s="258" t="s">
        <v>26</v>
      </c>
      <c r="C9" s="258" t="s">
        <v>27</v>
      </c>
      <c r="D9" s="260">
        <v>6</v>
      </c>
      <c r="E9" s="351" t="s">
        <v>25</v>
      </c>
      <c r="F9" s="258" t="s">
        <v>26</v>
      </c>
      <c r="G9" s="258" t="s">
        <v>126</v>
      </c>
      <c r="H9" s="456">
        <f>J9+K9+L9</f>
        <v>1000</v>
      </c>
      <c r="I9" s="258" t="s">
        <v>28</v>
      </c>
      <c r="J9" s="346">
        <v>300</v>
      </c>
      <c r="K9" s="346">
        <v>350</v>
      </c>
      <c r="L9" s="346">
        <v>350</v>
      </c>
      <c r="M9" s="260"/>
      <c r="N9" s="261">
        <f t="shared" si="1"/>
        <v>60</v>
      </c>
      <c r="O9" s="262">
        <v>20</v>
      </c>
      <c r="P9" s="262">
        <v>20</v>
      </c>
      <c r="Q9" s="262">
        <v>20</v>
      </c>
      <c r="R9" s="261">
        <f t="shared" si="2"/>
        <v>20</v>
      </c>
      <c r="S9" s="262">
        <v>10</v>
      </c>
      <c r="T9" s="262">
        <v>10</v>
      </c>
      <c r="U9" s="261">
        <f t="shared" si="3"/>
        <v>80</v>
      </c>
      <c r="V9" s="262">
        <v>30</v>
      </c>
      <c r="W9" s="262">
        <v>20</v>
      </c>
      <c r="X9" s="262">
        <v>30</v>
      </c>
      <c r="Y9" s="261">
        <f t="shared" si="4"/>
        <v>18</v>
      </c>
      <c r="Z9" s="262">
        <v>10</v>
      </c>
      <c r="AA9" s="262">
        <v>8</v>
      </c>
      <c r="AB9" s="261">
        <v>10</v>
      </c>
      <c r="AC9" s="263"/>
      <c r="AD9" s="264">
        <v>5800</v>
      </c>
      <c r="AE9" s="265">
        <f t="shared" si="5"/>
        <v>5800000</v>
      </c>
      <c r="AF9" s="266">
        <f t="shared" si="6"/>
        <v>1740000</v>
      </c>
      <c r="AG9" s="267">
        <f t="shared" si="7"/>
        <v>2030000</v>
      </c>
      <c r="AH9" s="268">
        <f t="shared" si="8"/>
        <v>2030000</v>
      </c>
      <c r="AI9" s="269">
        <f t="shared" si="9"/>
        <v>0</v>
      </c>
      <c r="AJ9" s="827" t="s">
        <v>4228</v>
      </c>
      <c r="AK9" s="916" t="s">
        <v>4731</v>
      </c>
      <c r="AL9" s="915">
        <v>350</v>
      </c>
      <c r="AM9" s="915">
        <f t="shared" si="10"/>
        <v>650</v>
      </c>
      <c r="AN9" s="399">
        <v>4928000</v>
      </c>
    </row>
    <row r="10" spans="1:48" s="5" customFormat="1" ht="141.75">
      <c r="A10" s="895"/>
      <c r="B10" s="248" t="s">
        <v>159</v>
      </c>
      <c r="C10" s="248" t="s">
        <v>126</v>
      </c>
      <c r="D10" s="250">
        <v>2</v>
      </c>
      <c r="E10" s="352" t="s">
        <v>29</v>
      </c>
      <c r="F10" s="248" t="s">
        <v>159</v>
      </c>
      <c r="G10" s="248" t="s">
        <v>126</v>
      </c>
      <c r="H10" s="270">
        <f>SUM(H11:H18)</f>
        <v>98</v>
      </c>
      <c r="I10" s="249"/>
      <c r="J10" s="271">
        <f>J11+J12+J13+J14+J15+J16++J17+J18</f>
        <v>22</v>
      </c>
      <c r="K10" s="271">
        <f t="shared" ref="K10:AC10" si="11">K11+K12+K13+K14+K15+K16++K17+K18</f>
        <v>47</v>
      </c>
      <c r="L10" s="271">
        <f t="shared" si="11"/>
        <v>29</v>
      </c>
      <c r="M10" s="271">
        <f t="shared" si="11"/>
        <v>0</v>
      </c>
      <c r="N10" s="272">
        <f t="shared" si="11"/>
        <v>38</v>
      </c>
      <c r="O10" s="272">
        <f t="shared" si="11"/>
        <v>14</v>
      </c>
      <c r="P10" s="272">
        <f t="shared" si="11"/>
        <v>14</v>
      </c>
      <c r="Q10" s="272">
        <f t="shared" si="11"/>
        <v>10</v>
      </c>
      <c r="R10" s="272">
        <f t="shared" si="11"/>
        <v>11</v>
      </c>
      <c r="S10" s="272">
        <f t="shared" si="11"/>
        <v>10</v>
      </c>
      <c r="T10" s="272">
        <f t="shared" si="11"/>
        <v>1</v>
      </c>
      <c r="U10" s="272">
        <f t="shared" si="11"/>
        <v>29</v>
      </c>
      <c r="V10" s="272">
        <f t="shared" si="11"/>
        <v>9</v>
      </c>
      <c r="W10" s="272">
        <f t="shared" si="11"/>
        <v>8</v>
      </c>
      <c r="X10" s="272">
        <f t="shared" si="11"/>
        <v>12</v>
      </c>
      <c r="Y10" s="272">
        <f t="shared" si="11"/>
        <v>23</v>
      </c>
      <c r="Z10" s="272">
        <f t="shared" si="11"/>
        <v>13</v>
      </c>
      <c r="AA10" s="272">
        <f t="shared" si="11"/>
        <v>10</v>
      </c>
      <c r="AB10" s="272">
        <f t="shared" si="11"/>
        <v>8</v>
      </c>
      <c r="AC10" s="273">
        <f t="shared" si="11"/>
        <v>0</v>
      </c>
      <c r="AD10" s="253"/>
      <c r="AE10" s="254">
        <f>SUM(AE11:AE18)</f>
        <v>164132884</v>
      </c>
      <c r="AF10" s="255">
        <f>SUM(AF11:AF18)</f>
        <v>16530181</v>
      </c>
      <c r="AG10" s="256">
        <f>SUM(AG11:AG18)</f>
        <v>74744835</v>
      </c>
      <c r="AH10" s="255">
        <f>SUM(AH11:AH18)</f>
        <v>72857868</v>
      </c>
      <c r="AI10" s="274">
        <f t="shared" ref="AI10:AI67" si="12">AD10*M10</f>
        <v>0</v>
      </c>
      <c r="AJ10" s="828"/>
      <c r="AK10" s="915"/>
      <c r="AL10" s="915"/>
      <c r="AM10" s="915">
        <f t="shared" si="10"/>
        <v>98</v>
      </c>
      <c r="AN10" s="399"/>
    </row>
    <row r="11" spans="1:48" s="10" customFormat="1" ht="222.75">
      <c r="A11" s="896">
        <v>7</v>
      </c>
      <c r="B11" s="275" t="s">
        <v>216</v>
      </c>
      <c r="C11" s="275" t="s">
        <v>126</v>
      </c>
      <c r="D11" s="353">
        <v>7</v>
      </c>
      <c r="E11" s="354" t="s">
        <v>30</v>
      </c>
      <c r="F11" s="275" t="s">
        <v>216</v>
      </c>
      <c r="G11" s="275" t="s">
        <v>126</v>
      </c>
      <c r="H11" s="457">
        <f>J11+K11+L11+M11</f>
        <v>15</v>
      </c>
      <c r="I11" s="275" t="s">
        <v>220</v>
      </c>
      <c r="J11" s="665">
        <v>3</v>
      </c>
      <c r="K11" s="665">
        <v>6</v>
      </c>
      <c r="L11" s="665">
        <v>6</v>
      </c>
      <c r="M11" s="276"/>
      <c r="N11" s="277">
        <f t="shared" ref="N11:N18" si="13">O11+P11+Q11</f>
        <v>6</v>
      </c>
      <c r="O11" s="278">
        <v>3</v>
      </c>
      <c r="P11" s="278">
        <v>3</v>
      </c>
      <c r="Q11" s="278"/>
      <c r="R11" s="277">
        <f t="shared" ref="R11:R18" si="14">S11+T11</f>
        <v>0</v>
      </c>
      <c r="S11" s="278"/>
      <c r="T11" s="278"/>
      <c r="U11" s="277">
        <f t="shared" ref="U11:U18" si="15">V11+W11+X11</f>
        <v>6</v>
      </c>
      <c r="V11" s="278">
        <v>3</v>
      </c>
      <c r="W11" s="278"/>
      <c r="X11" s="278">
        <v>3</v>
      </c>
      <c r="Y11" s="277">
        <f t="shared" ref="Y11:Y18" si="16">Z11+AA11</f>
        <v>3</v>
      </c>
      <c r="Z11" s="278">
        <v>3</v>
      </c>
      <c r="AA11" s="278"/>
      <c r="AB11" s="277"/>
      <c r="AC11" s="279"/>
      <c r="AD11" s="280">
        <v>3100000</v>
      </c>
      <c r="AE11" s="265">
        <f t="shared" ref="AE11:AE67" si="17">AD11*H11</f>
        <v>46500000</v>
      </c>
      <c r="AF11" s="266">
        <f t="shared" ref="AF11:AF67" si="18">AD11*J11</f>
        <v>9300000</v>
      </c>
      <c r="AG11" s="267">
        <f t="shared" ref="AG11:AG67" si="19">AD11*K11</f>
        <v>18600000</v>
      </c>
      <c r="AH11" s="268">
        <f t="shared" ref="AH11:AH67" si="20">AD11*L11</f>
        <v>18600000</v>
      </c>
      <c r="AI11" s="269">
        <f t="shared" si="12"/>
        <v>0</v>
      </c>
      <c r="AJ11" s="920" t="s">
        <v>4719</v>
      </c>
      <c r="AK11" s="919" t="s">
        <v>4733</v>
      </c>
      <c r="AL11" s="917">
        <v>2</v>
      </c>
      <c r="AM11" s="915">
        <f t="shared" si="10"/>
        <v>13</v>
      </c>
      <c r="AN11" s="918">
        <v>6000000</v>
      </c>
    </row>
    <row r="12" spans="1:48" s="10" customFormat="1" ht="384.75">
      <c r="A12" s="896">
        <v>8</v>
      </c>
      <c r="B12" s="275" t="s">
        <v>217</v>
      </c>
      <c r="C12" s="275" t="s">
        <v>126</v>
      </c>
      <c r="D12" s="353">
        <v>8</v>
      </c>
      <c r="E12" s="354" t="s">
        <v>151</v>
      </c>
      <c r="F12" s="275" t="s">
        <v>217</v>
      </c>
      <c r="G12" s="275" t="s">
        <v>126</v>
      </c>
      <c r="H12" s="457">
        <f t="shared" ref="H12:H18" si="21">J12+K12+L12+M12</f>
        <v>5</v>
      </c>
      <c r="I12" s="275" t="s">
        <v>259</v>
      </c>
      <c r="J12" s="665">
        <v>1</v>
      </c>
      <c r="K12" s="665">
        <v>2</v>
      </c>
      <c r="L12" s="665">
        <v>2</v>
      </c>
      <c r="M12" s="281"/>
      <c r="N12" s="277">
        <f t="shared" si="13"/>
        <v>2</v>
      </c>
      <c r="O12" s="278">
        <v>1</v>
      </c>
      <c r="P12" s="278">
        <v>1</v>
      </c>
      <c r="Q12" s="278"/>
      <c r="R12" s="277">
        <f t="shared" si="14"/>
        <v>0</v>
      </c>
      <c r="S12" s="278"/>
      <c r="T12" s="278"/>
      <c r="U12" s="277">
        <f t="shared" si="15"/>
        <v>1</v>
      </c>
      <c r="V12" s="278"/>
      <c r="W12" s="278"/>
      <c r="X12" s="278">
        <v>1</v>
      </c>
      <c r="Y12" s="277">
        <f t="shared" si="16"/>
        <v>2</v>
      </c>
      <c r="Z12" s="278">
        <v>1</v>
      </c>
      <c r="AA12" s="278">
        <v>1</v>
      </c>
      <c r="AB12" s="282"/>
      <c r="AC12" s="283"/>
      <c r="AD12" s="280">
        <v>2500000</v>
      </c>
      <c r="AE12" s="265">
        <f t="shared" si="17"/>
        <v>12500000</v>
      </c>
      <c r="AF12" s="266">
        <f t="shared" si="18"/>
        <v>2500000</v>
      </c>
      <c r="AG12" s="267">
        <f t="shared" si="19"/>
        <v>5000000</v>
      </c>
      <c r="AH12" s="268">
        <f t="shared" si="20"/>
        <v>5000000</v>
      </c>
      <c r="AI12" s="269">
        <f t="shared" si="12"/>
        <v>0</v>
      </c>
      <c r="AJ12" s="827" t="s">
        <v>4228</v>
      </c>
      <c r="AK12" s="919" t="s">
        <v>4765</v>
      </c>
      <c r="AL12" s="917">
        <v>2</v>
      </c>
      <c r="AM12" s="915">
        <f t="shared" si="10"/>
        <v>3</v>
      </c>
      <c r="AN12" s="918">
        <v>7006720</v>
      </c>
    </row>
    <row r="13" spans="1:48" ht="101.25">
      <c r="A13" s="38">
        <v>9</v>
      </c>
      <c r="B13" s="258" t="s">
        <v>2725</v>
      </c>
      <c r="C13" s="258" t="s">
        <v>126</v>
      </c>
      <c r="D13" s="353">
        <v>9</v>
      </c>
      <c r="E13" s="351" t="s">
        <v>30</v>
      </c>
      <c r="F13" s="258" t="s">
        <v>2725</v>
      </c>
      <c r="G13" s="258" t="s">
        <v>126</v>
      </c>
      <c r="H13" s="503">
        <v>30</v>
      </c>
      <c r="I13" s="1101" t="s">
        <v>160</v>
      </c>
      <c r="J13" s="346">
        <v>9</v>
      </c>
      <c r="K13" s="346">
        <v>12</v>
      </c>
      <c r="L13" s="346">
        <v>9</v>
      </c>
      <c r="M13" s="260"/>
      <c r="N13" s="261">
        <f t="shared" si="13"/>
        <v>9</v>
      </c>
      <c r="O13" s="262">
        <v>3</v>
      </c>
      <c r="P13" s="262">
        <v>3</v>
      </c>
      <c r="Q13" s="262">
        <v>3</v>
      </c>
      <c r="R13" s="261">
        <f t="shared" si="14"/>
        <v>6</v>
      </c>
      <c r="S13" s="262">
        <v>6</v>
      </c>
      <c r="T13" s="262"/>
      <c r="U13" s="261">
        <f t="shared" si="15"/>
        <v>9</v>
      </c>
      <c r="V13" s="262">
        <v>3</v>
      </c>
      <c r="W13" s="262">
        <v>3</v>
      </c>
      <c r="X13" s="262">
        <v>3</v>
      </c>
      <c r="Y13" s="261">
        <f t="shared" si="16"/>
        <v>6</v>
      </c>
      <c r="Z13" s="262">
        <v>3</v>
      </c>
      <c r="AA13" s="262">
        <v>3</v>
      </c>
      <c r="AB13" s="261"/>
      <c r="AC13" s="263"/>
      <c r="AD13" s="264">
        <v>81144</v>
      </c>
      <c r="AE13" s="265">
        <f t="shared" si="17"/>
        <v>2434320</v>
      </c>
      <c r="AF13" s="266">
        <f t="shared" si="18"/>
        <v>730296</v>
      </c>
      <c r="AG13" s="267">
        <f t="shared" si="19"/>
        <v>973728</v>
      </c>
      <c r="AH13" s="268">
        <f t="shared" si="20"/>
        <v>730296</v>
      </c>
      <c r="AI13" s="269">
        <f t="shared" si="12"/>
        <v>0</v>
      </c>
      <c r="AJ13" s="827" t="s">
        <v>4228</v>
      </c>
      <c r="AK13" s="919" t="s">
        <v>4765</v>
      </c>
      <c r="AL13" s="915">
        <v>9</v>
      </c>
      <c r="AM13" s="915">
        <f t="shared" si="10"/>
        <v>21</v>
      </c>
      <c r="AN13" s="399">
        <v>2782080</v>
      </c>
    </row>
    <row r="14" spans="1:48" ht="81">
      <c r="A14" s="38">
        <v>10</v>
      </c>
      <c r="B14" s="258" t="s">
        <v>2726</v>
      </c>
      <c r="C14" s="258" t="s">
        <v>126</v>
      </c>
      <c r="D14" s="353">
        <v>10</v>
      </c>
      <c r="E14" s="351" t="s">
        <v>30</v>
      </c>
      <c r="F14" s="258" t="s">
        <v>2726</v>
      </c>
      <c r="G14" s="258" t="s">
        <v>126</v>
      </c>
      <c r="H14" s="503">
        <v>15</v>
      </c>
      <c r="I14" s="1102"/>
      <c r="J14" s="346"/>
      <c r="K14" s="346">
        <v>15</v>
      </c>
      <c r="L14" s="346"/>
      <c r="M14" s="260"/>
      <c r="N14" s="261">
        <f t="shared" si="13"/>
        <v>9</v>
      </c>
      <c r="O14" s="262">
        <v>3</v>
      </c>
      <c r="P14" s="262">
        <v>3</v>
      </c>
      <c r="Q14" s="262">
        <v>3</v>
      </c>
      <c r="R14" s="261">
        <f t="shared" si="14"/>
        <v>3</v>
      </c>
      <c r="S14" s="262">
        <v>3</v>
      </c>
      <c r="T14" s="262"/>
      <c r="U14" s="261">
        <f t="shared" si="15"/>
        <v>6</v>
      </c>
      <c r="V14" s="262">
        <v>3</v>
      </c>
      <c r="W14" s="262">
        <v>3</v>
      </c>
      <c r="X14" s="262"/>
      <c r="Y14" s="261">
        <f t="shared" si="16"/>
        <v>3</v>
      </c>
      <c r="Z14" s="262"/>
      <c r="AA14" s="262">
        <v>3</v>
      </c>
      <c r="AB14" s="261">
        <v>3</v>
      </c>
      <c r="AC14" s="263"/>
      <c r="AD14" s="264">
        <v>109569</v>
      </c>
      <c r="AE14" s="265">
        <f t="shared" si="17"/>
        <v>1643535</v>
      </c>
      <c r="AF14" s="266">
        <f t="shared" si="18"/>
        <v>0</v>
      </c>
      <c r="AG14" s="267">
        <f t="shared" si="19"/>
        <v>1643535</v>
      </c>
      <c r="AH14" s="268">
        <f t="shared" si="20"/>
        <v>0</v>
      </c>
      <c r="AI14" s="269">
        <f t="shared" si="12"/>
        <v>0</v>
      </c>
      <c r="AJ14" s="827" t="s">
        <v>4228</v>
      </c>
      <c r="AK14" s="916" t="s">
        <v>4738</v>
      </c>
      <c r="AL14" s="915">
        <v>15</v>
      </c>
      <c r="AM14" s="915">
        <f t="shared" si="10"/>
        <v>0</v>
      </c>
      <c r="AN14" s="399">
        <v>860700</v>
      </c>
    </row>
    <row r="15" spans="1:48" ht="60.75">
      <c r="A15" s="38">
        <v>11</v>
      </c>
      <c r="B15" s="258" t="s">
        <v>2727</v>
      </c>
      <c r="C15" s="258" t="s">
        <v>126</v>
      </c>
      <c r="D15" s="353">
        <v>11</v>
      </c>
      <c r="E15" s="351" t="s">
        <v>30</v>
      </c>
      <c r="F15" s="258" t="s">
        <v>2727</v>
      </c>
      <c r="G15" s="258" t="s">
        <v>126</v>
      </c>
      <c r="H15" s="503">
        <v>18</v>
      </c>
      <c r="I15" s="1103"/>
      <c r="J15" s="346">
        <v>6</v>
      </c>
      <c r="K15" s="346">
        <v>6</v>
      </c>
      <c r="L15" s="346">
        <v>6</v>
      </c>
      <c r="M15" s="260"/>
      <c r="N15" s="261">
        <f t="shared" si="13"/>
        <v>9</v>
      </c>
      <c r="O15" s="262">
        <v>3</v>
      </c>
      <c r="P15" s="262">
        <v>3</v>
      </c>
      <c r="Q15" s="262">
        <v>3</v>
      </c>
      <c r="R15" s="261">
        <f t="shared" si="14"/>
        <v>0</v>
      </c>
      <c r="S15" s="262"/>
      <c r="T15" s="262"/>
      <c r="U15" s="261">
        <f t="shared" si="15"/>
        <v>3</v>
      </c>
      <c r="V15" s="262"/>
      <c r="W15" s="262"/>
      <c r="X15" s="262">
        <v>3</v>
      </c>
      <c r="Y15" s="261">
        <f t="shared" si="16"/>
        <v>3</v>
      </c>
      <c r="Z15" s="262">
        <v>3</v>
      </c>
      <c r="AA15" s="262"/>
      <c r="AB15" s="261">
        <v>3</v>
      </c>
      <c r="AC15" s="263"/>
      <c r="AD15" s="264">
        <v>185955</v>
      </c>
      <c r="AE15" s="265">
        <f t="shared" si="17"/>
        <v>3347190</v>
      </c>
      <c r="AF15" s="266">
        <f t="shared" si="18"/>
        <v>1115730</v>
      </c>
      <c r="AG15" s="267">
        <f t="shared" si="19"/>
        <v>1115730</v>
      </c>
      <c r="AH15" s="268">
        <f t="shared" si="20"/>
        <v>1115730</v>
      </c>
      <c r="AI15" s="269">
        <f t="shared" si="12"/>
        <v>0</v>
      </c>
      <c r="AJ15" s="827" t="s">
        <v>4228</v>
      </c>
      <c r="AK15" s="919" t="s">
        <v>4765</v>
      </c>
      <c r="AL15" s="915">
        <v>6</v>
      </c>
      <c r="AM15" s="915">
        <f t="shared" si="10"/>
        <v>12</v>
      </c>
      <c r="AN15" s="399">
        <v>1545600</v>
      </c>
    </row>
    <row r="16" spans="1:48" ht="141.75">
      <c r="A16" s="38">
        <v>12</v>
      </c>
      <c r="B16" s="258" t="s">
        <v>2728</v>
      </c>
      <c r="C16" s="258" t="s">
        <v>126</v>
      </c>
      <c r="D16" s="353">
        <v>12</v>
      </c>
      <c r="E16" s="351" t="s">
        <v>177</v>
      </c>
      <c r="F16" s="258" t="s">
        <v>2728</v>
      </c>
      <c r="G16" s="258" t="s">
        <v>126</v>
      </c>
      <c r="H16" s="457">
        <v>4</v>
      </c>
      <c r="I16" s="258" t="s">
        <v>215</v>
      </c>
      <c r="J16" s="346"/>
      <c r="K16" s="346">
        <v>2</v>
      </c>
      <c r="L16" s="346">
        <v>2</v>
      </c>
      <c r="M16" s="260"/>
      <c r="N16" s="261">
        <f t="shared" si="13"/>
        <v>3</v>
      </c>
      <c r="O16" s="262">
        <v>1</v>
      </c>
      <c r="P16" s="262">
        <v>1</v>
      </c>
      <c r="Q16" s="262">
        <v>1</v>
      </c>
      <c r="R16" s="261">
        <f t="shared" si="14"/>
        <v>0</v>
      </c>
      <c r="S16" s="262"/>
      <c r="T16" s="262"/>
      <c r="U16" s="261">
        <f t="shared" si="15"/>
        <v>0</v>
      </c>
      <c r="V16" s="262"/>
      <c r="W16" s="262"/>
      <c r="X16" s="262"/>
      <c r="Y16" s="261">
        <f t="shared" si="16"/>
        <v>2</v>
      </c>
      <c r="Z16" s="262">
        <v>1</v>
      </c>
      <c r="AA16" s="262">
        <v>1</v>
      </c>
      <c r="AB16" s="261">
        <v>1</v>
      </c>
      <c r="AC16" s="263"/>
      <c r="AD16" s="264">
        <v>22174166</v>
      </c>
      <c r="AE16" s="265">
        <f t="shared" si="17"/>
        <v>88696664</v>
      </c>
      <c r="AF16" s="266">
        <f t="shared" si="18"/>
        <v>0</v>
      </c>
      <c r="AG16" s="267">
        <f t="shared" si="19"/>
        <v>44348332</v>
      </c>
      <c r="AH16" s="268">
        <f t="shared" si="20"/>
        <v>44348332</v>
      </c>
      <c r="AI16" s="269">
        <f t="shared" si="12"/>
        <v>0</v>
      </c>
      <c r="AJ16" s="827" t="s">
        <v>4228</v>
      </c>
      <c r="AK16" s="915"/>
      <c r="AL16" s="915"/>
      <c r="AM16" s="915">
        <f t="shared" si="10"/>
        <v>4</v>
      </c>
      <c r="AN16" s="399"/>
    </row>
    <row r="17" spans="1:40" ht="182.25">
      <c r="A17" s="38">
        <v>13</v>
      </c>
      <c r="B17" s="258" t="s">
        <v>2729</v>
      </c>
      <c r="C17" s="258" t="s">
        <v>126</v>
      </c>
      <c r="D17" s="353">
        <v>13</v>
      </c>
      <c r="E17" s="351" t="s">
        <v>178</v>
      </c>
      <c r="F17" s="258" t="s">
        <v>2729</v>
      </c>
      <c r="G17" s="258" t="s">
        <v>126</v>
      </c>
      <c r="H17" s="457">
        <f t="shared" si="21"/>
        <v>5</v>
      </c>
      <c r="I17" s="258" t="s">
        <v>219</v>
      </c>
      <c r="J17" s="346">
        <v>1</v>
      </c>
      <c r="K17" s="346">
        <v>2</v>
      </c>
      <c r="L17" s="346">
        <v>2</v>
      </c>
      <c r="M17" s="260"/>
      <c r="N17" s="261">
        <f t="shared" si="13"/>
        <v>0</v>
      </c>
      <c r="O17" s="262">
        <v>0</v>
      </c>
      <c r="P17" s="262">
        <v>0</v>
      </c>
      <c r="Q17" s="262">
        <v>0</v>
      </c>
      <c r="R17" s="261">
        <f t="shared" si="14"/>
        <v>0</v>
      </c>
      <c r="S17" s="262"/>
      <c r="T17" s="262"/>
      <c r="U17" s="261">
        <f t="shared" si="15"/>
        <v>2</v>
      </c>
      <c r="V17" s="262"/>
      <c r="W17" s="262">
        <v>1</v>
      </c>
      <c r="X17" s="262">
        <v>1</v>
      </c>
      <c r="Y17" s="261">
        <f t="shared" si="16"/>
        <v>2</v>
      </c>
      <c r="Z17" s="262">
        <v>1</v>
      </c>
      <c r="AA17" s="262">
        <v>1</v>
      </c>
      <c r="AB17" s="261">
        <v>1</v>
      </c>
      <c r="AC17" s="263"/>
      <c r="AD17" s="264">
        <v>179355</v>
      </c>
      <c r="AE17" s="265">
        <f t="shared" si="17"/>
        <v>896775</v>
      </c>
      <c r="AF17" s="266">
        <f t="shared" si="18"/>
        <v>179355</v>
      </c>
      <c r="AG17" s="267">
        <f t="shared" si="19"/>
        <v>358710</v>
      </c>
      <c r="AH17" s="268">
        <f t="shared" si="20"/>
        <v>358710</v>
      </c>
      <c r="AI17" s="269">
        <f t="shared" si="12"/>
        <v>0</v>
      </c>
      <c r="AJ17" s="827" t="s">
        <v>4228</v>
      </c>
      <c r="AK17" s="919" t="s">
        <v>4765</v>
      </c>
      <c r="AL17" s="915">
        <v>2</v>
      </c>
      <c r="AM17" s="915">
        <f t="shared" si="10"/>
        <v>3</v>
      </c>
      <c r="AN17" s="399">
        <v>5564160</v>
      </c>
    </row>
    <row r="18" spans="1:40" ht="121.5">
      <c r="A18" s="38">
        <v>14</v>
      </c>
      <c r="B18" s="258" t="s">
        <v>2730</v>
      </c>
      <c r="C18" s="258" t="s">
        <v>126</v>
      </c>
      <c r="D18" s="353">
        <v>14</v>
      </c>
      <c r="E18" s="351" t="s">
        <v>170</v>
      </c>
      <c r="F18" s="258" t="s">
        <v>2730</v>
      </c>
      <c r="G18" s="258" t="s">
        <v>126</v>
      </c>
      <c r="H18" s="457">
        <f t="shared" si="21"/>
        <v>6</v>
      </c>
      <c r="I18" s="258" t="s">
        <v>218</v>
      </c>
      <c r="J18" s="346">
        <v>2</v>
      </c>
      <c r="K18" s="346">
        <v>2</v>
      </c>
      <c r="L18" s="346">
        <v>2</v>
      </c>
      <c r="M18" s="260"/>
      <c r="N18" s="261">
        <f t="shared" si="13"/>
        <v>0</v>
      </c>
      <c r="O18" s="262">
        <v>0</v>
      </c>
      <c r="P18" s="262">
        <v>0</v>
      </c>
      <c r="Q18" s="262">
        <v>0</v>
      </c>
      <c r="R18" s="261">
        <f t="shared" si="14"/>
        <v>2</v>
      </c>
      <c r="S18" s="262">
        <v>1</v>
      </c>
      <c r="T18" s="262">
        <v>1</v>
      </c>
      <c r="U18" s="261">
        <f t="shared" si="15"/>
        <v>2</v>
      </c>
      <c r="V18" s="262"/>
      <c r="W18" s="262">
        <v>1</v>
      </c>
      <c r="X18" s="262">
        <v>1</v>
      </c>
      <c r="Y18" s="261">
        <f t="shared" si="16"/>
        <v>2</v>
      </c>
      <c r="Z18" s="262">
        <v>1</v>
      </c>
      <c r="AA18" s="262">
        <v>1</v>
      </c>
      <c r="AB18" s="261"/>
      <c r="AC18" s="263"/>
      <c r="AD18" s="264">
        <v>1352400</v>
      </c>
      <c r="AE18" s="265">
        <f t="shared" si="17"/>
        <v>8114400</v>
      </c>
      <c r="AF18" s="266">
        <f t="shared" si="18"/>
        <v>2704800</v>
      </c>
      <c r="AG18" s="267">
        <f t="shared" si="19"/>
        <v>2704800</v>
      </c>
      <c r="AH18" s="268">
        <f t="shared" si="20"/>
        <v>2704800</v>
      </c>
      <c r="AI18" s="269">
        <f t="shared" si="12"/>
        <v>0</v>
      </c>
      <c r="AJ18" s="827" t="s">
        <v>4228</v>
      </c>
      <c r="AK18" s="919" t="s">
        <v>4765</v>
      </c>
      <c r="AL18" s="915">
        <v>2</v>
      </c>
      <c r="AM18" s="915">
        <f t="shared" si="10"/>
        <v>4</v>
      </c>
      <c r="AN18" s="399">
        <v>6079360</v>
      </c>
    </row>
    <row r="19" spans="1:40" s="5" customFormat="1" ht="222.75">
      <c r="A19" s="895"/>
      <c r="B19" s="248" t="s">
        <v>32</v>
      </c>
      <c r="C19" s="248" t="s">
        <v>126</v>
      </c>
      <c r="D19" s="248">
        <v>3</v>
      </c>
      <c r="E19" s="355" t="s">
        <v>31</v>
      </c>
      <c r="F19" s="248" t="s">
        <v>32</v>
      </c>
      <c r="G19" s="248" t="s">
        <v>126</v>
      </c>
      <c r="H19" s="248">
        <f>N19+R19+U19+Y19+AB19+AC19</f>
        <v>22</v>
      </c>
      <c r="I19" s="249"/>
      <c r="J19" s="250">
        <f>J20+J21+J22+J23++J24+J25+J26+J27+J28</f>
        <v>5</v>
      </c>
      <c r="K19" s="250">
        <f t="shared" ref="K19:AC19" si="22">K20+K21+K22+K23++K24+K25+K26+K27+K28</f>
        <v>13</v>
      </c>
      <c r="L19" s="250">
        <f t="shared" si="22"/>
        <v>7</v>
      </c>
      <c r="M19" s="250">
        <f t="shared" si="22"/>
        <v>0</v>
      </c>
      <c r="N19" s="251">
        <f t="shared" si="22"/>
        <v>6</v>
      </c>
      <c r="O19" s="251">
        <f t="shared" si="22"/>
        <v>2</v>
      </c>
      <c r="P19" s="251">
        <f t="shared" si="22"/>
        <v>1</v>
      </c>
      <c r="Q19" s="251">
        <f t="shared" si="22"/>
        <v>3</v>
      </c>
      <c r="R19" s="251">
        <f t="shared" si="22"/>
        <v>4</v>
      </c>
      <c r="S19" s="251">
        <f t="shared" si="22"/>
        <v>3</v>
      </c>
      <c r="T19" s="251">
        <f t="shared" si="22"/>
        <v>1</v>
      </c>
      <c r="U19" s="251">
        <f t="shared" si="22"/>
        <v>1</v>
      </c>
      <c r="V19" s="251">
        <f t="shared" si="22"/>
        <v>0</v>
      </c>
      <c r="W19" s="251">
        <f t="shared" si="22"/>
        <v>0</v>
      </c>
      <c r="X19" s="251">
        <f t="shared" si="22"/>
        <v>1</v>
      </c>
      <c r="Y19" s="251">
        <f t="shared" si="22"/>
        <v>8</v>
      </c>
      <c r="Z19" s="251">
        <f t="shared" si="22"/>
        <v>4</v>
      </c>
      <c r="AA19" s="251">
        <f t="shared" si="22"/>
        <v>4</v>
      </c>
      <c r="AB19" s="251">
        <f t="shared" si="22"/>
        <v>3</v>
      </c>
      <c r="AC19" s="252">
        <f t="shared" si="22"/>
        <v>0</v>
      </c>
      <c r="AD19" s="253"/>
      <c r="AE19" s="254">
        <f>SUM(AE20:AE28)</f>
        <v>369777156</v>
      </c>
      <c r="AF19" s="255">
        <f>SUM(AF20:AF28)</f>
        <v>61405052</v>
      </c>
      <c r="AG19" s="256">
        <f>SUM(AG20:AG28)</f>
        <v>215936052</v>
      </c>
      <c r="AH19" s="255">
        <f>SUM(AH20:AH28)</f>
        <v>92436052</v>
      </c>
      <c r="AI19" s="274">
        <f t="shared" si="12"/>
        <v>0</v>
      </c>
      <c r="AJ19" s="827"/>
      <c r="AK19" s="915"/>
      <c r="AL19" s="915"/>
      <c r="AM19" s="915">
        <f t="shared" si="10"/>
        <v>22</v>
      </c>
      <c r="AN19" s="399"/>
    </row>
    <row r="20" spans="1:40" ht="141.75">
      <c r="A20" s="38">
        <v>15</v>
      </c>
      <c r="B20" s="258" t="s">
        <v>2731</v>
      </c>
      <c r="C20" s="258" t="s">
        <v>126</v>
      </c>
      <c r="D20" s="294">
        <v>15</v>
      </c>
      <c r="E20" s="351" t="s">
        <v>33</v>
      </c>
      <c r="F20" s="258" t="s">
        <v>2731</v>
      </c>
      <c r="G20" s="258" t="s">
        <v>126</v>
      </c>
      <c r="H20" s="258">
        <v>3</v>
      </c>
      <c r="I20" s="284" t="s">
        <v>227</v>
      </c>
      <c r="J20" s="260"/>
      <c r="K20" s="260">
        <v>3</v>
      </c>
      <c r="L20" s="260"/>
      <c r="M20" s="260"/>
      <c r="N20" s="261"/>
      <c r="O20" s="262"/>
      <c r="P20" s="262"/>
      <c r="Q20" s="262"/>
      <c r="R20" s="261"/>
      <c r="S20" s="262"/>
      <c r="T20" s="262"/>
      <c r="U20" s="261"/>
      <c r="V20" s="262"/>
      <c r="W20" s="262"/>
      <c r="X20" s="262"/>
      <c r="Y20" s="261"/>
      <c r="Z20" s="262"/>
      <c r="AA20" s="262"/>
      <c r="AB20" s="261"/>
      <c r="AC20" s="285"/>
      <c r="AD20" s="264">
        <v>2100000</v>
      </c>
      <c r="AE20" s="265">
        <f t="shared" si="17"/>
        <v>6300000</v>
      </c>
      <c r="AF20" s="266">
        <f t="shared" si="18"/>
        <v>0</v>
      </c>
      <c r="AG20" s="267">
        <f t="shared" si="19"/>
        <v>6300000</v>
      </c>
      <c r="AH20" s="268">
        <f t="shared" si="20"/>
        <v>0</v>
      </c>
      <c r="AI20" s="269">
        <f t="shared" si="12"/>
        <v>0</v>
      </c>
      <c r="AJ20" s="827" t="s">
        <v>4228</v>
      </c>
      <c r="AK20" s="919" t="s">
        <v>4765</v>
      </c>
      <c r="AL20" s="915">
        <v>1</v>
      </c>
      <c r="AM20" s="915">
        <f t="shared" si="10"/>
        <v>2</v>
      </c>
      <c r="AN20" s="399">
        <v>1030400</v>
      </c>
    </row>
    <row r="21" spans="1:40" ht="283.5">
      <c r="A21" s="38">
        <v>16</v>
      </c>
      <c r="B21" s="258" t="s">
        <v>2732</v>
      </c>
      <c r="C21" s="258" t="s">
        <v>126</v>
      </c>
      <c r="D21" s="260">
        <v>16</v>
      </c>
      <c r="E21" s="351" t="s">
        <v>179</v>
      </c>
      <c r="F21" s="258" t="s">
        <v>2732</v>
      </c>
      <c r="G21" s="258" t="s">
        <v>126</v>
      </c>
      <c r="H21" s="258">
        <f t="shared" ref="H21:H29" si="23">N21+R21+U21+Y21+AB21+AC21</f>
        <v>4</v>
      </c>
      <c r="I21" s="258" t="s">
        <v>226</v>
      </c>
      <c r="J21" s="260">
        <v>1</v>
      </c>
      <c r="K21" s="260">
        <v>2</v>
      </c>
      <c r="L21" s="260">
        <v>1</v>
      </c>
      <c r="M21" s="260"/>
      <c r="N21" s="261">
        <f t="shared" ref="N21:N28" si="24">O21+P21+Q21</f>
        <v>2</v>
      </c>
      <c r="O21" s="262">
        <v>1</v>
      </c>
      <c r="P21" s="262"/>
      <c r="Q21" s="262">
        <v>1</v>
      </c>
      <c r="R21" s="261">
        <f t="shared" ref="R21:R28" si="25">S21+T21</f>
        <v>1</v>
      </c>
      <c r="S21" s="262">
        <v>1</v>
      </c>
      <c r="T21" s="262"/>
      <c r="U21" s="261">
        <f t="shared" ref="U21:U28" si="26">V21+W21+X21</f>
        <v>0</v>
      </c>
      <c r="V21" s="262"/>
      <c r="W21" s="262"/>
      <c r="X21" s="262"/>
      <c r="Y21" s="261">
        <f t="shared" ref="Y21:Y28" si="27">Z21+AA21</f>
        <v>1</v>
      </c>
      <c r="Z21" s="262">
        <v>1</v>
      </c>
      <c r="AA21" s="262"/>
      <c r="AB21" s="261"/>
      <c r="AC21" s="263"/>
      <c r="AD21" s="264">
        <v>32500000</v>
      </c>
      <c r="AE21" s="265">
        <f t="shared" si="17"/>
        <v>130000000</v>
      </c>
      <c r="AF21" s="266">
        <f t="shared" si="18"/>
        <v>32500000</v>
      </c>
      <c r="AG21" s="267">
        <f t="shared" si="19"/>
        <v>65000000</v>
      </c>
      <c r="AH21" s="268">
        <f t="shared" si="20"/>
        <v>32500000</v>
      </c>
      <c r="AI21" s="269">
        <f t="shared" si="12"/>
        <v>0</v>
      </c>
      <c r="AJ21" s="827" t="s">
        <v>4228</v>
      </c>
      <c r="AK21" s="919" t="s">
        <v>4765</v>
      </c>
      <c r="AL21" s="915">
        <v>1</v>
      </c>
      <c r="AM21" s="915">
        <f t="shared" si="10"/>
        <v>3</v>
      </c>
      <c r="AN21" s="399">
        <v>7882560</v>
      </c>
    </row>
    <row r="22" spans="1:40" ht="243">
      <c r="A22" s="38">
        <v>17</v>
      </c>
      <c r="B22" s="258" t="s">
        <v>2991</v>
      </c>
      <c r="C22" s="258" t="s">
        <v>126</v>
      </c>
      <c r="D22" s="294">
        <v>17</v>
      </c>
      <c r="E22" s="351" t="s">
        <v>180</v>
      </c>
      <c r="F22" s="258" t="s">
        <v>2991</v>
      </c>
      <c r="G22" s="258" t="s">
        <v>126</v>
      </c>
      <c r="H22" s="258">
        <f t="shared" si="23"/>
        <v>6</v>
      </c>
      <c r="I22" s="258" t="s">
        <v>228</v>
      </c>
      <c r="J22" s="260">
        <v>2</v>
      </c>
      <c r="K22" s="260">
        <v>2</v>
      </c>
      <c r="L22" s="260">
        <v>2</v>
      </c>
      <c r="M22" s="260"/>
      <c r="N22" s="261">
        <f t="shared" si="24"/>
        <v>3</v>
      </c>
      <c r="O22" s="262">
        <v>1</v>
      </c>
      <c r="P22" s="262">
        <v>1</v>
      </c>
      <c r="Q22" s="262">
        <v>1</v>
      </c>
      <c r="R22" s="261">
        <f t="shared" si="25"/>
        <v>0</v>
      </c>
      <c r="S22" s="262"/>
      <c r="T22" s="262"/>
      <c r="U22" s="261">
        <f t="shared" si="26"/>
        <v>0</v>
      </c>
      <c r="V22" s="262"/>
      <c r="W22" s="262"/>
      <c r="X22" s="262"/>
      <c r="Y22" s="261">
        <f t="shared" si="27"/>
        <v>2</v>
      </c>
      <c r="Z22" s="262">
        <v>1</v>
      </c>
      <c r="AA22" s="262">
        <v>1</v>
      </c>
      <c r="AB22" s="261">
        <v>1</v>
      </c>
      <c r="AC22" s="263"/>
      <c r="AD22" s="264">
        <v>8415000</v>
      </c>
      <c r="AE22" s="265">
        <f t="shared" si="17"/>
        <v>50490000</v>
      </c>
      <c r="AF22" s="266">
        <f t="shared" si="18"/>
        <v>16830000</v>
      </c>
      <c r="AG22" s="267">
        <f t="shared" si="19"/>
        <v>16830000</v>
      </c>
      <c r="AH22" s="268">
        <f t="shared" si="20"/>
        <v>16830000</v>
      </c>
      <c r="AI22" s="269">
        <f t="shared" si="12"/>
        <v>0</v>
      </c>
      <c r="AJ22" s="827" t="s">
        <v>4228</v>
      </c>
      <c r="AK22" s="919" t="s">
        <v>4765</v>
      </c>
      <c r="AL22" s="915">
        <v>2</v>
      </c>
      <c r="AM22" s="915">
        <f t="shared" si="10"/>
        <v>4</v>
      </c>
      <c r="AN22" s="399">
        <v>32972800</v>
      </c>
    </row>
    <row r="23" spans="1:40" ht="141.75">
      <c r="A23" s="38">
        <v>18</v>
      </c>
      <c r="B23" s="258" t="s">
        <v>2733</v>
      </c>
      <c r="C23" s="258" t="s">
        <v>126</v>
      </c>
      <c r="D23" s="260">
        <v>18</v>
      </c>
      <c r="E23" s="351" t="s">
        <v>179</v>
      </c>
      <c r="F23" s="258" t="s">
        <v>2733</v>
      </c>
      <c r="G23" s="258" t="s">
        <v>126</v>
      </c>
      <c r="H23" s="258">
        <f t="shared" si="23"/>
        <v>2</v>
      </c>
      <c r="I23" s="258" t="s">
        <v>225</v>
      </c>
      <c r="J23" s="260"/>
      <c r="K23" s="260">
        <v>1</v>
      </c>
      <c r="L23" s="260">
        <v>1</v>
      </c>
      <c r="M23" s="260"/>
      <c r="N23" s="261">
        <f t="shared" si="24"/>
        <v>0</v>
      </c>
      <c r="O23" s="262">
        <v>0</v>
      </c>
      <c r="P23" s="262">
        <v>0</v>
      </c>
      <c r="Q23" s="262">
        <v>0</v>
      </c>
      <c r="R23" s="261">
        <f t="shared" si="25"/>
        <v>0</v>
      </c>
      <c r="S23" s="262"/>
      <c r="T23" s="262"/>
      <c r="U23" s="261">
        <f t="shared" si="26"/>
        <v>0</v>
      </c>
      <c r="V23" s="262"/>
      <c r="W23" s="262"/>
      <c r="X23" s="262"/>
      <c r="Y23" s="261">
        <f t="shared" si="27"/>
        <v>1</v>
      </c>
      <c r="Z23" s="262">
        <v>1</v>
      </c>
      <c r="AA23" s="262"/>
      <c r="AB23" s="261">
        <v>1</v>
      </c>
      <c r="AC23" s="263"/>
      <c r="AD23" s="264">
        <v>5775000</v>
      </c>
      <c r="AE23" s="265">
        <f t="shared" si="17"/>
        <v>11550000</v>
      </c>
      <c r="AF23" s="266">
        <f t="shared" si="18"/>
        <v>0</v>
      </c>
      <c r="AG23" s="267">
        <f t="shared" si="19"/>
        <v>5775000</v>
      </c>
      <c r="AH23" s="268">
        <f t="shared" si="20"/>
        <v>5775000</v>
      </c>
      <c r="AI23" s="269">
        <f t="shared" si="12"/>
        <v>0</v>
      </c>
      <c r="AJ23" s="827" t="s">
        <v>4228</v>
      </c>
      <c r="AK23" s="919" t="s">
        <v>4765</v>
      </c>
      <c r="AL23" s="915">
        <v>1</v>
      </c>
      <c r="AM23" s="915">
        <f t="shared" si="10"/>
        <v>1</v>
      </c>
      <c r="AN23" s="399">
        <v>14013440</v>
      </c>
    </row>
    <row r="24" spans="1:40" ht="243">
      <c r="A24" s="38">
        <v>19</v>
      </c>
      <c r="B24" s="258" t="s">
        <v>2734</v>
      </c>
      <c r="C24" s="258" t="s">
        <v>126</v>
      </c>
      <c r="D24" s="294">
        <v>19</v>
      </c>
      <c r="E24" s="351" t="s">
        <v>181</v>
      </c>
      <c r="F24" s="258" t="s">
        <v>2734</v>
      </c>
      <c r="G24" s="258" t="s">
        <v>126</v>
      </c>
      <c r="H24" s="258">
        <f t="shared" si="23"/>
        <v>1</v>
      </c>
      <c r="I24" s="258" t="s">
        <v>229</v>
      </c>
      <c r="J24" s="260"/>
      <c r="K24" s="260">
        <v>1</v>
      </c>
      <c r="L24" s="260"/>
      <c r="M24" s="260"/>
      <c r="N24" s="261">
        <f t="shared" si="24"/>
        <v>0</v>
      </c>
      <c r="O24" s="262"/>
      <c r="P24" s="262"/>
      <c r="Q24" s="262"/>
      <c r="R24" s="261">
        <f t="shared" si="25"/>
        <v>1</v>
      </c>
      <c r="S24" s="262"/>
      <c r="T24" s="262">
        <v>1</v>
      </c>
      <c r="U24" s="261">
        <f t="shared" si="26"/>
        <v>0</v>
      </c>
      <c r="V24" s="262"/>
      <c r="W24" s="262"/>
      <c r="X24" s="262"/>
      <c r="Y24" s="261">
        <f t="shared" si="27"/>
        <v>0</v>
      </c>
      <c r="Z24" s="262"/>
      <c r="AA24" s="262"/>
      <c r="AB24" s="261"/>
      <c r="AC24" s="263"/>
      <c r="AD24" s="264">
        <v>35200000</v>
      </c>
      <c r="AE24" s="265">
        <f t="shared" si="17"/>
        <v>35200000</v>
      </c>
      <c r="AF24" s="266">
        <f t="shared" si="18"/>
        <v>0</v>
      </c>
      <c r="AG24" s="267">
        <f t="shared" si="19"/>
        <v>35200000</v>
      </c>
      <c r="AH24" s="268">
        <f t="shared" si="20"/>
        <v>0</v>
      </c>
      <c r="AI24" s="269">
        <f t="shared" si="12"/>
        <v>0</v>
      </c>
      <c r="AJ24" s="827" t="s">
        <v>4228</v>
      </c>
      <c r="AK24" s="915"/>
      <c r="AL24" s="915"/>
      <c r="AM24" s="915">
        <f t="shared" si="10"/>
        <v>1</v>
      </c>
      <c r="AN24" s="399"/>
    </row>
    <row r="25" spans="1:40" ht="162">
      <c r="A25" s="38">
        <v>20</v>
      </c>
      <c r="B25" s="258" t="s">
        <v>2735</v>
      </c>
      <c r="C25" s="258" t="s">
        <v>126</v>
      </c>
      <c r="D25" s="260">
        <v>20</v>
      </c>
      <c r="E25" s="351" t="s">
        <v>33</v>
      </c>
      <c r="F25" s="258" t="s">
        <v>2735</v>
      </c>
      <c r="G25" s="258" t="s">
        <v>126</v>
      </c>
      <c r="H25" s="258">
        <f t="shared" si="23"/>
        <v>1</v>
      </c>
      <c r="I25" s="258" t="s">
        <v>34</v>
      </c>
      <c r="J25" s="260"/>
      <c r="K25" s="260">
        <v>1</v>
      </c>
      <c r="L25" s="260"/>
      <c r="M25" s="260"/>
      <c r="N25" s="261">
        <f t="shared" si="24"/>
        <v>0</v>
      </c>
      <c r="O25" s="262">
        <v>0</v>
      </c>
      <c r="P25" s="262">
        <v>0</v>
      </c>
      <c r="Q25" s="262">
        <v>0</v>
      </c>
      <c r="R25" s="261">
        <f t="shared" si="25"/>
        <v>1</v>
      </c>
      <c r="S25" s="262">
        <v>1</v>
      </c>
      <c r="T25" s="262"/>
      <c r="U25" s="261">
        <f t="shared" si="26"/>
        <v>0</v>
      </c>
      <c r="V25" s="262"/>
      <c r="W25" s="262"/>
      <c r="X25" s="262"/>
      <c r="Y25" s="261">
        <f t="shared" si="27"/>
        <v>0</v>
      </c>
      <c r="Z25" s="262"/>
      <c r="AA25" s="262"/>
      <c r="AB25" s="261"/>
      <c r="AC25" s="263"/>
      <c r="AD25" s="264">
        <v>49500000</v>
      </c>
      <c r="AE25" s="265">
        <f t="shared" si="17"/>
        <v>49500000</v>
      </c>
      <c r="AF25" s="266">
        <f t="shared" si="18"/>
        <v>0</v>
      </c>
      <c r="AG25" s="267">
        <f t="shared" si="19"/>
        <v>49500000</v>
      </c>
      <c r="AH25" s="268">
        <f t="shared" si="20"/>
        <v>0</v>
      </c>
      <c r="AI25" s="269">
        <f t="shared" si="12"/>
        <v>0</v>
      </c>
      <c r="AJ25" s="827" t="s">
        <v>4228</v>
      </c>
      <c r="AK25" s="915"/>
      <c r="AL25" s="915"/>
      <c r="AM25" s="915">
        <f t="shared" si="10"/>
        <v>1</v>
      </c>
      <c r="AN25" s="399"/>
    </row>
    <row r="26" spans="1:40" ht="263.25">
      <c r="A26" s="38">
        <v>21</v>
      </c>
      <c r="B26" s="286" t="s">
        <v>2736</v>
      </c>
      <c r="C26" s="258" t="s">
        <v>126</v>
      </c>
      <c r="D26" s="294">
        <v>21</v>
      </c>
      <c r="E26" s="351" t="s">
        <v>33</v>
      </c>
      <c r="F26" s="286" t="s">
        <v>2736</v>
      </c>
      <c r="G26" s="258" t="s">
        <v>126</v>
      </c>
      <c r="H26" s="258">
        <f t="shared" si="23"/>
        <v>2</v>
      </c>
      <c r="I26" s="258" t="s">
        <v>161</v>
      </c>
      <c r="J26" s="260"/>
      <c r="K26" s="260">
        <v>1</v>
      </c>
      <c r="L26" s="260">
        <v>1</v>
      </c>
      <c r="M26" s="260"/>
      <c r="N26" s="261">
        <f t="shared" si="24"/>
        <v>0</v>
      </c>
      <c r="O26" s="262">
        <v>0</v>
      </c>
      <c r="P26" s="262">
        <v>0</v>
      </c>
      <c r="Q26" s="262">
        <v>0</v>
      </c>
      <c r="R26" s="261">
        <f t="shared" si="25"/>
        <v>0</v>
      </c>
      <c r="S26" s="262"/>
      <c r="T26" s="262"/>
      <c r="U26" s="261">
        <f t="shared" si="26"/>
        <v>0</v>
      </c>
      <c r="V26" s="262"/>
      <c r="W26" s="262"/>
      <c r="X26" s="262"/>
      <c r="Y26" s="261">
        <f t="shared" si="27"/>
        <v>1</v>
      </c>
      <c r="Z26" s="262"/>
      <c r="AA26" s="262">
        <v>1</v>
      </c>
      <c r="AB26" s="261">
        <v>1</v>
      </c>
      <c r="AC26" s="263"/>
      <c r="AD26" s="264">
        <v>25256000</v>
      </c>
      <c r="AE26" s="265">
        <f t="shared" si="17"/>
        <v>50512000</v>
      </c>
      <c r="AF26" s="266">
        <f t="shared" si="18"/>
        <v>0</v>
      </c>
      <c r="AG26" s="267">
        <f t="shared" si="19"/>
        <v>25256000</v>
      </c>
      <c r="AH26" s="268">
        <f t="shared" si="20"/>
        <v>25256000</v>
      </c>
      <c r="AI26" s="269">
        <f t="shared" si="12"/>
        <v>0</v>
      </c>
      <c r="AJ26" s="827" t="s">
        <v>4228</v>
      </c>
      <c r="AK26" s="915"/>
      <c r="AL26" s="915"/>
      <c r="AM26" s="915">
        <f t="shared" si="10"/>
        <v>2</v>
      </c>
      <c r="AN26" s="399"/>
    </row>
    <row r="27" spans="1:40" ht="121.5">
      <c r="A27" s="38">
        <v>22</v>
      </c>
      <c r="B27" s="258" t="s">
        <v>2737</v>
      </c>
      <c r="C27" s="258" t="s">
        <v>126</v>
      </c>
      <c r="D27" s="260">
        <v>22</v>
      </c>
      <c r="E27" s="351" t="s">
        <v>182</v>
      </c>
      <c r="F27" s="258" t="s">
        <v>2737</v>
      </c>
      <c r="G27" s="258" t="s">
        <v>126</v>
      </c>
      <c r="H27" s="258">
        <f t="shared" si="23"/>
        <v>3</v>
      </c>
      <c r="I27" s="1101" t="s">
        <v>260</v>
      </c>
      <c r="J27" s="260">
        <v>1</v>
      </c>
      <c r="K27" s="260">
        <v>1</v>
      </c>
      <c r="L27" s="260">
        <v>1</v>
      </c>
      <c r="M27" s="260"/>
      <c r="N27" s="261">
        <f t="shared" si="24"/>
        <v>1</v>
      </c>
      <c r="O27" s="262"/>
      <c r="P27" s="262"/>
      <c r="Q27" s="262">
        <v>1</v>
      </c>
      <c r="R27" s="261">
        <f t="shared" si="25"/>
        <v>0</v>
      </c>
      <c r="S27" s="262"/>
      <c r="T27" s="262"/>
      <c r="U27" s="261">
        <f t="shared" si="26"/>
        <v>1</v>
      </c>
      <c r="V27" s="262"/>
      <c r="W27" s="262"/>
      <c r="X27" s="262">
        <v>1</v>
      </c>
      <c r="Y27" s="261">
        <f t="shared" si="27"/>
        <v>1</v>
      </c>
      <c r="Z27" s="262"/>
      <c r="AA27" s="262">
        <v>1</v>
      </c>
      <c r="AB27" s="261"/>
      <c r="AC27" s="263"/>
      <c r="AD27" s="264">
        <v>3437500</v>
      </c>
      <c r="AE27" s="265">
        <f t="shared" si="17"/>
        <v>10312500</v>
      </c>
      <c r="AF27" s="266">
        <f t="shared" si="18"/>
        <v>3437500</v>
      </c>
      <c r="AG27" s="267">
        <f t="shared" si="19"/>
        <v>3437500</v>
      </c>
      <c r="AH27" s="268">
        <f t="shared" si="20"/>
        <v>3437500</v>
      </c>
      <c r="AI27" s="269">
        <f t="shared" si="12"/>
        <v>0</v>
      </c>
      <c r="AJ27" s="827" t="s">
        <v>4228</v>
      </c>
      <c r="AK27" s="915"/>
      <c r="AL27" s="915"/>
      <c r="AM27" s="915">
        <f t="shared" si="10"/>
        <v>3</v>
      </c>
      <c r="AN27" s="399"/>
    </row>
    <row r="28" spans="1:40" ht="121.5">
      <c r="A28" s="38">
        <v>23</v>
      </c>
      <c r="B28" s="258" t="s">
        <v>2738</v>
      </c>
      <c r="C28" s="258"/>
      <c r="D28" s="294">
        <v>23</v>
      </c>
      <c r="E28" s="351" t="s">
        <v>33</v>
      </c>
      <c r="F28" s="258" t="s">
        <v>2738</v>
      </c>
      <c r="G28" s="258"/>
      <c r="H28" s="258">
        <f t="shared" si="23"/>
        <v>3</v>
      </c>
      <c r="I28" s="1103"/>
      <c r="J28" s="260">
        <v>1</v>
      </c>
      <c r="K28" s="260">
        <v>1</v>
      </c>
      <c r="L28" s="260">
        <v>1</v>
      </c>
      <c r="M28" s="260"/>
      <c r="N28" s="261">
        <f t="shared" si="24"/>
        <v>0</v>
      </c>
      <c r="O28" s="262">
        <v>0</v>
      </c>
      <c r="P28" s="262">
        <v>0</v>
      </c>
      <c r="Q28" s="262">
        <v>0</v>
      </c>
      <c r="R28" s="261">
        <f t="shared" si="25"/>
        <v>1</v>
      </c>
      <c r="S28" s="262">
        <v>1</v>
      </c>
      <c r="T28" s="262"/>
      <c r="U28" s="261">
        <f t="shared" si="26"/>
        <v>0</v>
      </c>
      <c r="V28" s="262"/>
      <c r="W28" s="262"/>
      <c r="X28" s="262"/>
      <c r="Y28" s="261">
        <f t="shared" si="27"/>
        <v>2</v>
      </c>
      <c r="Z28" s="262">
        <v>1</v>
      </c>
      <c r="AA28" s="262">
        <v>1</v>
      </c>
      <c r="AB28" s="261"/>
      <c r="AC28" s="263"/>
      <c r="AD28" s="264">
        <v>8637552</v>
      </c>
      <c r="AE28" s="265">
        <f t="shared" si="17"/>
        <v>25912656</v>
      </c>
      <c r="AF28" s="266">
        <f t="shared" si="18"/>
        <v>8637552</v>
      </c>
      <c r="AG28" s="267">
        <f t="shared" si="19"/>
        <v>8637552</v>
      </c>
      <c r="AH28" s="268">
        <f t="shared" si="20"/>
        <v>8637552</v>
      </c>
      <c r="AI28" s="269">
        <f t="shared" si="12"/>
        <v>0</v>
      </c>
      <c r="AJ28" s="827" t="s">
        <v>4228</v>
      </c>
      <c r="AK28" s="919" t="s">
        <v>4765</v>
      </c>
      <c r="AL28" s="915">
        <v>1</v>
      </c>
      <c r="AM28" s="915">
        <f t="shared" si="10"/>
        <v>2</v>
      </c>
      <c r="AN28" s="399">
        <v>11385920</v>
      </c>
    </row>
    <row r="29" spans="1:40" s="5" customFormat="1" ht="101.25">
      <c r="A29" s="895"/>
      <c r="B29" s="287" t="s">
        <v>36</v>
      </c>
      <c r="C29" s="287" t="s">
        <v>126</v>
      </c>
      <c r="D29" s="250">
        <v>4</v>
      </c>
      <c r="E29" s="355" t="s">
        <v>35</v>
      </c>
      <c r="F29" s="287" t="s">
        <v>36</v>
      </c>
      <c r="G29" s="287" t="s">
        <v>126</v>
      </c>
      <c r="H29" s="248">
        <f t="shared" si="23"/>
        <v>174</v>
      </c>
      <c r="I29" s="249"/>
      <c r="J29" s="250">
        <f>J30+J31++J32</f>
        <v>50</v>
      </c>
      <c r="K29" s="250">
        <f>K30+K31++K32</f>
        <v>75</v>
      </c>
      <c r="L29" s="250">
        <f>L30+L31++L32</f>
        <v>49</v>
      </c>
      <c r="M29" s="250">
        <f>M30+M31++M32</f>
        <v>0</v>
      </c>
      <c r="N29" s="288">
        <f t="shared" ref="N29:AC29" si="28">N30+N31+N32</f>
        <v>68</v>
      </c>
      <c r="O29" s="288">
        <f t="shared" si="28"/>
        <v>22</v>
      </c>
      <c r="P29" s="288">
        <f t="shared" si="28"/>
        <v>24</v>
      </c>
      <c r="Q29" s="288">
        <f t="shared" si="28"/>
        <v>22</v>
      </c>
      <c r="R29" s="288">
        <f t="shared" si="28"/>
        <v>24</v>
      </c>
      <c r="S29" s="288">
        <f t="shared" si="28"/>
        <v>16</v>
      </c>
      <c r="T29" s="288">
        <f t="shared" si="28"/>
        <v>8</v>
      </c>
      <c r="U29" s="288">
        <f t="shared" si="28"/>
        <v>57</v>
      </c>
      <c r="V29" s="288">
        <f t="shared" si="28"/>
        <v>19</v>
      </c>
      <c r="W29" s="288">
        <f t="shared" si="28"/>
        <v>19</v>
      </c>
      <c r="X29" s="288">
        <f t="shared" si="28"/>
        <v>19</v>
      </c>
      <c r="Y29" s="288">
        <f t="shared" si="28"/>
        <v>23</v>
      </c>
      <c r="Z29" s="288">
        <f t="shared" si="28"/>
        <v>13</v>
      </c>
      <c r="AA29" s="288">
        <f t="shared" si="28"/>
        <v>10</v>
      </c>
      <c r="AB29" s="288">
        <f t="shared" si="28"/>
        <v>2</v>
      </c>
      <c r="AC29" s="289">
        <f t="shared" si="28"/>
        <v>0</v>
      </c>
      <c r="AD29" s="253"/>
      <c r="AE29" s="254">
        <f>SUM(AE30:AE32)</f>
        <v>16885724</v>
      </c>
      <c r="AF29" s="255">
        <f>SUM(AF30:AF32)</f>
        <v>4803250</v>
      </c>
      <c r="AG29" s="256">
        <f>SUM(AG30:AG32)</f>
        <v>7389240</v>
      </c>
      <c r="AH29" s="255">
        <f>SUM(AH30:AH32)</f>
        <v>4693234</v>
      </c>
      <c r="AI29" s="274">
        <f t="shared" si="12"/>
        <v>0</v>
      </c>
      <c r="AJ29" s="828"/>
      <c r="AK29" s="915"/>
      <c r="AL29" s="915"/>
      <c r="AM29" s="915">
        <f t="shared" si="10"/>
        <v>174</v>
      </c>
      <c r="AN29" s="399"/>
    </row>
    <row r="30" spans="1:40" ht="121.5">
      <c r="A30" s="38">
        <v>24</v>
      </c>
      <c r="B30" s="258" t="s">
        <v>37</v>
      </c>
      <c r="C30" s="258" t="s">
        <v>126</v>
      </c>
      <c r="D30" s="260">
        <v>24</v>
      </c>
      <c r="E30" s="356" t="s">
        <v>172</v>
      </c>
      <c r="F30" s="258" t="s">
        <v>37</v>
      </c>
      <c r="G30" s="258" t="s">
        <v>126</v>
      </c>
      <c r="H30" s="419">
        <v>100</v>
      </c>
      <c r="I30" s="258" t="s">
        <v>38</v>
      </c>
      <c r="J30" s="346">
        <v>30</v>
      </c>
      <c r="K30" s="346">
        <v>40</v>
      </c>
      <c r="L30" s="346">
        <v>30</v>
      </c>
      <c r="M30" s="260"/>
      <c r="N30" s="261">
        <f>O30+P30+Q30</f>
        <v>60</v>
      </c>
      <c r="O30" s="262">
        <v>20</v>
      </c>
      <c r="P30" s="262">
        <v>20</v>
      </c>
      <c r="Q30" s="262">
        <v>20</v>
      </c>
      <c r="R30" s="261">
        <f>S30+T30</f>
        <v>10</v>
      </c>
      <c r="S30" s="262">
        <v>10</v>
      </c>
      <c r="T30" s="262"/>
      <c r="U30" s="261">
        <f>V30+W30+X30</f>
        <v>18</v>
      </c>
      <c r="V30" s="262">
        <v>4</v>
      </c>
      <c r="W30" s="262">
        <v>4</v>
      </c>
      <c r="X30" s="262">
        <v>10</v>
      </c>
      <c r="Y30" s="261">
        <f>Z30+AA30</f>
        <v>10</v>
      </c>
      <c r="Z30" s="262">
        <v>5</v>
      </c>
      <c r="AA30" s="262">
        <v>5</v>
      </c>
      <c r="AB30" s="261">
        <v>2</v>
      </c>
      <c r="AC30" s="263"/>
      <c r="AD30" s="264">
        <v>73143</v>
      </c>
      <c r="AE30" s="265">
        <f t="shared" si="17"/>
        <v>7314300</v>
      </c>
      <c r="AF30" s="266">
        <f t="shared" si="18"/>
        <v>2194290</v>
      </c>
      <c r="AG30" s="267">
        <f t="shared" si="19"/>
        <v>2925720</v>
      </c>
      <c r="AH30" s="268">
        <f t="shared" si="20"/>
        <v>2194290</v>
      </c>
      <c r="AI30" s="269">
        <f t="shared" si="12"/>
        <v>0</v>
      </c>
      <c r="AJ30" s="827" t="s">
        <v>4228</v>
      </c>
      <c r="AK30" s="916" t="s">
        <v>4731</v>
      </c>
      <c r="AL30" s="915">
        <v>40</v>
      </c>
      <c r="AM30" s="915">
        <f t="shared" si="10"/>
        <v>60</v>
      </c>
      <c r="AN30" s="399">
        <v>1310720</v>
      </c>
    </row>
    <row r="31" spans="1:40" ht="162">
      <c r="A31" s="38">
        <v>25</v>
      </c>
      <c r="B31" s="258" t="s">
        <v>39</v>
      </c>
      <c r="C31" s="258" t="s">
        <v>126</v>
      </c>
      <c r="D31" s="260">
        <v>25</v>
      </c>
      <c r="E31" s="351" t="s">
        <v>171</v>
      </c>
      <c r="F31" s="258" t="s">
        <v>39</v>
      </c>
      <c r="G31" s="258" t="s">
        <v>126</v>
      </c>
      <c r="H31" s="258">
        <f>N31+R31+U31+Y31+AB31+AC31</f>
        <v>35</v>
      </c>
      <c r="I31" s="258" t="s">
        <v>40</v>
      </c>
      <c r="J31" s="260">
        <v>10</v>
      </c>
      <c r="K31" s="260">
        <v>15</v>
      </c>
      <c r="L31" s="260">
        <v>10</v>
      </c>
      <c r="M31" s="260"/>
      <c r="N31" s="261">
        <f>O31+P31+Q31</f>
        <v>8</v>
      </c>
      <c r="O31" s="262">
        <v>2</v>
      </c>
      <c r="P31" s="262">
        <v>4</v>
      </c>
      <c r="Q31" s="262">
        <v>2</v>
      </c>
      <c r="R31" s="261">
        <f>S31+T31</f>
        <v>6</v>
      </c>
      <c r="S31" s="262">
        <v>4</v>
      </c>
      <c r="T31" s="262">
        <v>2</v>
      </c>
      <c r="U31" s="261">
        <f>V31+W31+X31</f>
        <v>15</v>
      </c>
      <c r="V31" s="262">
        <v>5</v>
      </c>
      <c r="W31" s="262">
        <v>5</v>
      </c>
      <c r="X31" s="262">
        <v>5</v>
      </c>
      <c r="Y31" s="261">
        <f>Z31+AA31</f>
        <v>6</v>
      </c>
      <c r="Z31" s="262">
        <v>3</v>
      </c>
      <c r="AA31" s="262">
        <v>3</v>
      </c>
      <c r="AB31" s="261"/>
      <c r="AC31" s="263"/>
      <c r="AD31" s="264">
        <v>150880</v>
      </c>
      <c r="AE31" s="265">
        <f t="shared" si="17"/>
        <v>5280800</v>
      </c>
      <c r="AF31" s="266">
        <f t="shared" si="18"/>
        <v>1508800</v>
      </c>
      <c r="AG31" s="267">
        <f t="shared" si="19"/>
        <v>2263200</v>
      </c>
      <c r="AH31" s="268">
        <f t="shared" si="20"/>
        <v>1508800</v>
      </c>
      <c r="AI31" s="269">
        <f t="shared" si="12"/>
        <v>0</v>
      </c>
      <c r="AJ31" s="827" t="s">
        <v>4228</v>
      </c>
      <c r="AK31" s="916" t="s">
        <v>4731</v>
      </c>
      <c r="AL31" s="915">
        <v>15</v>
      </c>
      <c r="AM31" s="915">
        <f t="shared" si="10"/>
        <v>20</v>
      </c>
      <c r="AN31" s="399">
        <v>1655040</v>
      </c>
    </row>
    <row r="32" spans="1:40" ht="243">
      <c r="A32" s="38">
        <v>26</v>
      </c>
      <c r="B32" s="258" t="s">
        <v>41</v>
      </c>
      <c r="C32" s="258" t="s">
        <v>126</v>
      </c>
      <c r="D32" s="260">
        <v>26</v>
      </c>
      <c r="E32" s="351" t="s">
        <v>183</v>
      </c>
      <c r="F32" s="258" t="s">
        <v>41</v>
      </c>
      <c r="G32" s="258" t="s">
        <v>126</v>
      </c>
      <c r="H32" s="258">
        <f>N32+R32+U32+Y32+AB32+AC32</f>
        <v>39</v>
      </c>
      <c r="I32" s="258" t="s">
        <v>42</v>
      </c>
      <c r="J32" s="260">
        <v>10</v>
      </c>
      <c r="K32" s="260">
        <v>20</v>
      </c>
      <c r="L32" s="260">
        <v>9</v>
      </c>
      <c r="M32" s="260"/>
      <c r="N32" s="261">
        <f>O32+P32+Q32</f>
        <v>0</v>
      </c>
      <c r="O32" s="262">
        <v>0</v>
      </c>
      <c r="P32" s="262">
        <v>0</v>
      </c>
      <c r="Q32" s="262">
        <v>0</v>
      </c>
      <c r="R32" s="261">
        <f>S32+T32</f>
        <v>8</v>
      </c>
      <c r="S32" s="262">
        <v>2</v>
      </c>
      <c r="T32" s="262">
        <v>6</v>
      </c>
      <c r="U32" s="261">
        <f>V32+W32+X32</f>
        <v>24</v>
      </c>
      <c r="V32" s="262">
        <v>10</v>
      </c>
      <c r="W32" s="262">
        <v>10</v>
      </c>
      <c r="X32" s="262">
        <v>4</v>
      </c>
      <c r="Y32" s="261">
        <f>Z32+AA32</f>
        <v>7</v>
      </c>
      <c r="Z32" s="262">
        <v>5</v>
      </c>
      <c r="AA32" s="262">
        <v>2</v>
      </c>
      <c r="AB32" s="261"/>
      <c r="AC32" s="263"/>
      <c r="AD32" s="264">
        <v>110016</v>
      </c>
      <c r="AE32" s="265">
        <f t="shared" si="17"/>
        <v>4290624</v>
      </c>
      <c r="AF32" s="266">
        <f t="shared" si="18"/>
        <v>1100160</v>
      </c>
      <c r="AG32" s="267">
        <f t="shared" si="19"/>
        <v>2200320</v>
      </c>
      <c r="AH32" s="268">
        <f t="shared" si="20"/>
        <v>990144</v>
      </c>
      <c r="AI32" s="269">
        <f t="shared" si="12"/>
        <v>0</v>
      </c>
      <c r="AJ32" s="827" t="s">
        <v>4228</v>
      </c>
      <c r="AK32" s="916" t="s">
        <v>4731</v>
      </c>
      <c r="AL32" s="915">
        <v>15</v>
      </c>
      <c r="AM32" s="915">
        <f t="shared" si="10"/>
        <v>24</v>
      </c>
      <c r="AN32" s="399">
        <v>1044480</v>
      </c>
    </row>
    <row r="33" spans="1:40" s="5" customFormat="1" ht="121.5">
      <c r="A33" s="895"/>
      <c r="B33" s="248" t="s">
        <v>8</v>
      </c>
      <c r="C33" s="248" t="s">
        <v>126</v>
      </c>
      <c r="D33" s="250">
        <v>4</v>
      </c>
      <c r="E33" s="355" t="s">
        <v>7</v>
      </c>
      <c r="F33" s="248" t="s">
        <v>8</v>
      </c>
      <c r="G33" s="248" t="s">
        <v>126</v>
      </c>
      <c r="H33" s="248">
        <v>205</v>
      </c>
      <c r="I33" s="290"/>
      <c r="J33" s="250">
        <f>J34+J35+J36+J37+J38+J39+J40+J41</f>
        <v>43</v>
      </c>
      <c r="K33" s="250">
        <f>K34+K35+K36+K37+K38+K39+K40+K41</f>
        <v>86</v>
      </c>
      <c r="L33" s="250">
        <f>L34+L35+L36+L37+L38+L39+L40+L41</f>
        <v>76</v>
      </c>
      <c r="M33" s="250">
        <f>M34+M35+M36+M37+M38+M39+M40+M41</f>
        <v>0</v>
      </c>
      <c r="N33" s="251">
        <f t="shared" ref="N33:AC33" si="29">SUM(N34:N41)</f>
        <v>73</v>
      </c>
      <c r="O33" s="251">
        <f t="shared" si="29"/>
        <v>24</v>
      </c>
      <c r="P33" s="251">
        <f t="shared" si="29"/>
        <v>25</v>
      </c>
      <c r="Q33" s="251">
        <f t="shared" si="29"/>
        <v>24</v>
      </c>
      <c r="R33" s="251">
        <f t="shared" si="29"/>
        <v>24</v>
      </c>
      <c r="S33" s="251">
        <f t="shared" si="29"/>
        <v>16</v>
      </c>
      <c r="T33" s="251">
        <f t="shared" si="29"/>
        <v>8</v>
      </c>
      <c r="U33" s="251">
        <f t="shared" si="29"/>
        <v>55</v>
      </c>
      <c r="V33" s="251">
        <f t="shared" si="29"/>
        <v>19</v>
      </c>
      <c r="W33" s="251">
        <f t="shared" si="29"/>
        <v>20</v>
      </c>
      <c r="X33" s="251">
        <f t="shared" si="29"/>
        <v>16</v>
      </c>
      <c r="Y33" s="251">
        <f t="shared" si="29"/>
        <v>59</v>
      </c>
      <c r="Z33" s="251">
        <f t="shared" si="29"/>
        <v>38</v>
      </c>
      <c r="AA33" s="251">
        <f t="shared" si="29"/>
        <v>21</v>
      </c>
      <c r="AB33" s="251">
        <f t="shared" si="29"/>
        <v>21</v>
      </c>
      <c r="AC33" s="252">
        <f t="shared" si="29"/>
        <v>0</v>
      </c>
      <c r="AD33" s="253"/>
      <c r="AE33" s="254">
        <f>SUM(AE34:AE41)</f>
        <v>285210970</v>
      </c>
      <c r="AF33" s="255">
        <f>SUM(AF34:AF41)</f>
        <v>73533020</v>
      </c>
      <c r="AG33" s="256">
        <f>SUM(AG34:AG41)</f>
        <v>113770200</v>
      </c>
      <c r="AH33" s="255">
        <f>SUM(AH34:AH41)</f>
        <v>97907750</v>
      </c>
      <c r="AI33" s="274">
        <f t="shared" si="12"/>
        <v>0</v>
      </c>
      <c r="AJ33" s="828"/>
      <c r="AK33" s="915"/>
      <c r="AL33" s="915"/>
      <c r="AM33" s="915">
        <f t="shared" si="10"/>
        <v>205</v>
      </c>
      <c r="AN33" s="399"/>
    </row>
    <row r="34" spans="1:40" ht="81">
      <c r="A34" s="38">
        <v>27</v>
      </c>
      <c r="B34" s="258" t="s">
        <v>2739</v>
      </c>
      <c r="C34" s="258" t="s">
        <v>126</v>
      </c>
      <c r="D34" s="260">
        <v>27</v>
      </c>
      <c r="E34" s="351" t="s">
        <v>7</v>
      </c>
      <c r="F34" s="258" t="s">
        <v>2739</v>
      </c>
      <c r="G34" s="258" t="s">
        <v>126</v>
      </c>
      <c r="H34" s="419">
        <v>13</v>
      </c>
      <c r="I34" s="1106" t="s">
        <v>230</v>
      </c>
      <c r="J34" s="346">
        <v>4</v>
      </c>
      <c r="K34" s="346">
        <v>5</v>
      </c>
      <c r="L34" s="346">
        <v>4</v>
      </c>
      <c r="M34" s="260"/>
      <c r="N34" s="261">
        <f>O34+P34+Q34</f>
        <v>9</v>
      </c>
      <c r="O34" s="262">
        <v>3</v>
      </c>
      <c r="P34" s="262">
        <v>3</v>
      </c>
      <c r="Q34" s="262">
        <v>3</v>
      </c>
      <c r="R34" s="261">
        <f t="shared" ref="R34:R41" si="30">S34+T34</f>
        <v>0</v>
      </c>
      <c r="S34" s="262"/>
      <c r="T34" s="262"/>
      <c r="U34" s="261">
        <f t="shared" ref="U34:U41" si="31">V34+W34+X34</f>
        <v>0</v>
      </c>
      <c r="V34" s="262"/>
      <c r="W34" s="262"/>
      <c r="X34" s="262"/>
      <c r="Y34" s="261">
        <f t="shared" ref="Y34:Y41" si="32">Z34+AA34</f>
        <v>3</v>
      </c>
      <c r="Z34" s="262">
        <v>1</v>
      </c>
      <c r="AA34" s="262">
        <v>2</v>
      </c>
      <c r="AB34" s="261">
        <v>1</v>
      </c>
      <c r="AC34" s="263"/>
      <c r="AD34" s="264">
        <v>5563700</v>
      </c>
      <c r="AE34" s="265">
        <f t="shared" si="17"/>
        <v>72328100</v>
      </c>
      <c r="AF34" s="266">
        <f t="shared" si="18"/>
        <v>22254800</v>
      </c>
      <c r="AG34" s="267">
        <f t="shared" si="19"/>
        <v>27818500</v>
      </c>
      <c r="AH34" s="268">
        <f t="shared" si="20"/>
        <v>22254800</v>
      </c>
      <c r="AI34" s="269">
        <f t="shared" si="12"/>
        <v>0</v>
      </c>
      <c r="AJ34" s="827" t="s">
        <v>4228</v>
      </c>
      <c r="AK34" s="919" t="s">
        <v>4821</v>
      </c>
      <c r="AL34" s="915">
        <v>2</v>
      </c>
      <c r="AM34" s="915">
        <f t="shared" si="10"/>
        <v>11</v>
      </c>
      <c r="AN34" s="399">
        <v>4581840</v>
      </c>
    </row>
    <row r="35" spans="1:40" ht="81">
      <c r="A35" s="38">
        <v>28</v>
      </c>
      <c r="B35" s="258" t="s">
        <v>2740</v>
      </c>
      <c r="C35" s="258" t="s">
        <v>126</v>
      </c>
      <c r="D35" s="260">
        <v>28</v>
      </c>
      <c r="E35" s="351" t="s">
        <v>7</v>
      </c>
      <c r="F35" s="258" t="s">
        <v>2740</v>
      </c>
      <c r="G35" s="258" t="s">
        <v>126</v>
      </c>
      <c r="H35" s="419">
        <v>15</v>
      </c>
      <c r="I35" s="1106"/>
      <c r="J35" s="346">
        <v>5</v>
      </c>
      <c r="K35" s="346">
        <v>5</v>
      </c>
      <c r="L35" s="346">
        <v>5</v>
      </c>
      <c r="M35" s="260"/>
      <c r="N35" s="261">
        <f t="shared" ref="N35:N41" si="33">O35+P35+Q35</f>
        <v>9</v>
      </c>
      <c r="O35" s="262">
        <v>3</v>
      </c>
      <c r="P35" s="262">
        <v>3</v>
      </c>
      <c r="Q35" s="262">
        <v>3</v>
      </c>
      <c r="R35" s="261">
        <f t="shared" si="30"/>
        <v>2</v>
      </c>
      <c r="S35" s="262">
        <v>2</v>
      </c>
      <c r="T35" s="262"/>
      <c r="U35" s="261">
        <f t="shared" si="31"/>
        <v>0</v>
      </c>
      <c r="V35" s="262"/>
      <c r="W35" s="262"/>
      <c r="X35" s="262"/>
      <c r="Y35" s="261">
        <f t="shared" si="32"/>
        <v>2</v>
      </c>
      <c r="Z35" s="262">
        <v>1</v>
      </c>
      <c r="AA35" s="262">
        <v>1</v>
      </c>
      <c r="AB35" s="261">
        <v>2</v>
      </c>
      <c r="AC35" s="263"/>
      <c r="AD35" s="264">
        <v>713000</v>
      </c>
      <c r="AE35" s="265">
        <f t="shared" si="17"/>
        <v>10695000</v>
      </c>
      <c r="AF35" s="266">
        <f t="shared" si="18"/>
        <v>3565000</v>
      </c>
      <c r="AG35" s="267">
        <f t="shared" si="19"/>
        <v>3565000</v>
      </c>
      <c r="AH35" s="268">
        <f t="shared" si="20"/>
        <v>3565000</v>
      </c>
      <c r="AI35" s="269">
        <f t="shared" si="12"/>
        <v>0</v>
      </c>
      <c r="AJ35" s="827" t="s">
        <v>4228</v>
      </c>
      <c r="AK35" s="919" t="s">
        <v>4821</v>
      </c>
      <c r="AL35" s="915">
        <v>2</v>
      </c>
      <c r="AM35" s="915">
        <f t="shared" si="10"/>
        <v>13</v>
      </c>
      <c r="AN35" s="399">
        <v>3470040</v>
      </c>
    </row>
    <row r="36" spans="1:40" ht="162">
      <c r="A36" s="38">
        <v>29</v>
      </c>
      <c r="B36" s="258" t="s">
        <v>2741</v>
      </c>
      <c r="C36" s="258" t="s">
        <v>126</v>
      </c>
      <c r="D36" s="260">
        <v>29</v>
      </c>
      <c r="E36" s="351" t="s">
        <v>7</v>
      </c>
      <c r="F36" s="258" t="s">
        <v>2741</v>
      </c>
      <c r="G36" s="258" t="s">
        <v>126</v>
      </c>
      <c r="H36" s="419">
        <v>31</v>
      </c>
      <c r="I36" s="1106"/>
      <c r="J36" s="346">
        <v>9</v>
      </c>
      <c r="K36" s="346">
        <v>12</v>
      </c>
      <c r="L36" s="346">
        <v>10</v>
      </c>
      <c r="M36" s="260"/>
      <c r="N36" s="261">
        <f t="shared" si="33"/>
        <v>9</v>
      </c>
      <c r="O36" s="262">
        <v>3</v>
      </c>
      <c r="P36" s="262">
        <v>3</v>
      </c>
      <c r="Q36" s="262">
        <v>3</v>
      </c>
      <c r="R36" s="261">
        <f t="shared" si="30"/>
        <v>4</v>
      </c>
      <c r="S36" s="262">
        <v>2</v>
      </c>
      <c r="T36" s="262">
        <v>2</v>
      </c>
      <c r="U36" s="261">
        <f t="shared" si="31"/>
        <v>6</v>
      </c>
      <c r="V36" s="262">
        <v>2</v>
      </c>
      <c r="W36" s="262">
        <v>2</v>
      </c>
      <c r="X36" s="262">
        <v>2</v>
      </c>
      <c r="Y36" s="261">
        <f t="shared" si="32"/>
        <v>10</v>
      </c>
      <c r="Z36" s="262">
        <v>7</v>
      </c>
      <c r="AA36" s="262">
        <v>3</v>
      </c>
      <c r="AB36" s="261">
        <v>2</v>
      </c>
      <c r="AC36" s="263"/>
      <c r="AD36" s="264">
        <v>4100000</v>
      </c>
      <c r="AE36" s="265">
        <f t="shared" si="17"/>
        <v>127100000</v>
      </c>
      <c r="AF36" s="266">
        <f t="shared" si="18"/>
        <v>36900000</v>
      </c>
      <c r="AG36" s="267">
        <f t="shared" si="19"/>
        <v>49200000</v>
      </c>
      <c r="AH36" s="268">
        <f t="shared" si="20"/>
        <v>41000000</v>
      </c>
      <c r="AI36" s="269">
        <f t="shared" si="12"/>
        <v>0</v>
      </c>
      <c r="AJ36" s="827" t="s">
        <v>4228</v>
      </c>
      <c r="AK36" s="919" t="s">
        <v>4821</v>
      </c>
      <c r="AL36" s="915">
        <v>4</v>
      </c>
      <c r="AM36" s="915">
        <f t="shared" si="10"/>
        <v>27</v>
      </c>
      <c r="AN36" s="399">
        <v>11524640</v>
      </c>
    </row>
    <row r="37" spans="1:40" ht="202.5">
      <c r="A37" s="38">
        <v>30</v>
      </c>
      <c r="B37" s="258" t="s">
        <v>2742</v>
      </c>
      <c r="C37" s="258" t="s">
        <v>126</v>
      </c>
      <c r="D37" s="260">
        <v>30</v>
      </c>
      <c r="E37" s="351" t="s">
        <v>7</v>
      </c>
      <c r="F37" s="258" t="s">
        <v>2742</v>
      </c>
      <c r="G37" s="258" t="s">
        <v>126</v>
      </c>
      <c r="H37" s="419">
        <v>27</v>
      </c>
      <c r="I37" s="1104" t="s">
        <v>2743</v>
      </c>
      <c r="J37" s="346">
        <v>8</v>
      </c>
      <c r="K37" s="346">
        <v>11</v>
      </c>
      <c r="L37" s="346">
        <v>8</v>
      </c>
      <c r="M37" s="260"/>
      <c r="N37" s="261">
        <f t="shared" si="33"/>
        <v>6</v>
      </c>
      <c r="O37" s="262">
        <v>2</v>
      </c>
      <c r="P37" s="262">
        <v>2</v>
      </c>
      <c r="Q37" s="262">
        <v>2</v>
      </c>
      <c r="R37" s="261">
        <f t="shared" si="30"/>
        <v>4</v>
      </c>
      <c r="S37" s="262">
        <v>2</v>
      </c>
      <c r="T37" s="262">
        <v>2</v>
      </c>
      <c r="U37" s="261">
        <f t="shared" si="31"/>
        <v>6</v>
      </c>
      <c r="V37" s="262">
        <v>2</v>
      </c>
      <c r="W37" s="262">
        <v>2</v>
      </c>
      <c r="X37" s="262">
        <v>2</v>
      </c>
      <c r="Y37" s="261">
        <f t="shared" si="32"/>
        <v>8</v>
      </c>
      <c r="Z37" s="262">
        <v>6</v>
      </c>
      <c r="AA37" s="262">
        <v>2</v>
      </c>
      <c r="AB37" s="261">
        <v>3</v>
      </c>
      <c r="AC37" s="263"/>
      <c r="AD37" s="264">
        <v>316250</v>
      </c>
      <c r="AE37" s="265">
        <f t="shared" si="17"/>
        <v>8538750</v>
      </c>
      <c r="AF37" s="266">
        <f t="shared" si="18"/>
        <v>2530000</v>
      </c>
      <c r="AG37" s="267">
        <f t="shared" si="19"/>
        <v>3478750</v>
      </c>
      <c r="AH37" s="268">
        <f t="shared" si="20"/>
        <v>2530000</v>
      </c>
      <c r="AI37" s="269">
        <f t="shared" si="12"/>
        <v>0</v>
      </c>
      <c r="AJ37" s="827" t="s">
        <v>4228</v>
      </c>
      <c r="AK37" s="916" t="s">
        <v>4734</v>
      </c>
      <c r="AL37" s="915">
        <v>4</v>
      </c>
      <c r="AM37" s="915">
        <f t="shared" si="10"/>
        <v>23</v>
      </c>
      <c r="AN37" s="399">
        <v>1778000</v>
      </c>
    </row>
    <row r="38" spans="1:40" ht="81">
      <c r="A38" s="38">
        <v>31</v>
      </c>
      <c r="B38" s="258" t="s">
        <v>2744</v>
      </c>
      <c r="C38" s="258" t="s">
        <v>126</v>
      </c>
      <c r="D38" s="260">
        <v>31</v>
      </c>
      <c r="E38" s="351" t="s">
        <v>7</v>
      </c>
      <c r="F38" s="258" t="s">
        <v>2744</v>
      </c>
      <c r="G38" s="258" t="s">
        <v>126</v>
      </c>
      <c r="H38" s="258">
        <f>N38+R38+U38+Y38+AB38+AC38</f>
        <v>28</v>
      </c>
      <c r="I38" s="1107"/>
      <c r="J38" s="346">
        <v>8</v>
      </c>
      <c r="K38" s="346">
        <v>10</v>
      </c>
      <c r="L38" s="346">
        <v>10</v>
      </c>
      <c r="M38" s="260"/>
      <c r="N38" s="261">
        <f t="shared" si="33"/>
        <v>6</v>
      </c>
      <c r="O38" s="262">
        <v>2</v>
      </c>
      <c r="P38" s="262">
        <v>2</v>
      </c>
      <c r="Q38" s="262">
        <v>2</v>
      </c>
      <c r="R38" s="261">
        <f t="shared" si="30"/>
        <v>2</v>
      </c>
      <c r="S38" s="262">
        <v>2</v>
      </c>
      <c r="T38" s="262"/>
      <c r="U38" s="261">
        <f t="shared" si="31"/>
        <v>9</v>
      </c>
      <c r="V38" s="262">
        <v>3</v>
      </c>
      <c r="W38" s="262">
        <v>3</v>
      </c>
      <c r="X38" s="262">
        <v>3</v>
      </c>
      <c r="Y38" s="261">
        <f t="shared" si="32"/>
        <v>8</v>
      </c>
      <c r="Z38" s="262">
        <v>6</v>
      </c>
      <c r="AA38" s="262">
        <v>2</v>
      </c>
      <c r="AB38" s="261">
        <v>3</v>
      </c>
      <c r="AC38" s="263"/>
      <c r="AD38" s="264">
        <v>711965</v>
      </c>
      <c r="AE38" s="265">
        <f t="shared" si="17"/>
        <v>19935020</v>
      </c>
      <c r="AF38" s="266">
        <f t="shared" si="18"/>
        <v>5695720</v>
      </c>
      <c r="AG38" s="267">
        <f t="shared" si="19"/>
        <v>7119650</v>
      </c>
      <c r="AH38" s="268">
        <f t="shared" si="20"/>
        <v>7119650</v>
      </c>
      <c r="AI38" s="269">
        <f t="shared" si="12"/>
        <v>0</v>
      </c>
      <c r="AJ38" s="827" t="s">
        <v>4228</v>
      </c>
      <c r="AK38" s="916" t="s">
        <v>4734</v>
      </c>
      <c r="AL38" s="915">
        <v>8</v>
      </c>
      <c r="AM38" s="915">
        <f t="shared" si="10"/>
        <v>20</v>
      </c>
      <c r="AN38" s="399">
        <v>3200400</v>
      </c>
    </row>
    <row r="39" spans="1:40" ht="81">
      <c r="A39" s="38">
        <v>32</v>
      </c>
      <c r="B39" s="258" t="s">
        <v>2745</v>
      </c>
      <c r="C39" s="258" t="s">
        <v>126</v>
      </c>
      <c r="D39" s="260">
        <v>32</v>
      </c>
      <c r="E39" s="351" t="s">
        <v>7</v>
      </c>
      <c r="F39" s="258" t="s">
        <v>2745</v>
      </c>
      <c r="G39" s="258" t="s">
        <v>126</v>
      </c>
      <c r="H39" s="419">
        <v>31</v>
      </c>
      <c r="I39" s="1107"/>
      <c r="J39" s="346">
        <v>9</v>
      </c>
      <c r="K39" s="346">
        <v>13</v>
      </c>
      <c r="L39" s="346">
        <v>9</v>
      </c>
      <c r="M39" s="260"/>
      <c r="N39" s="261">
        <f t="shared" si="33"/>
        <v>7</v>
      </c>
      <c r="O39" s="262">
        <v>2</v>
      </c>
      <c r="P39" s="262">
        <v>3</v>
      </c>
      <c r="Q39" s="262">
        <v>2</v>
      </c>
      <c r="R39" s="261">
        <f t="shared" si="30"/>
        <v>4</v>
      </c>
      <c r="S39" s="262">
        <v>2</v>
      </c>
      <c r="T39" s="262">
        <v>2</v>
      </c>
      <c r="U39" s="261">
        <f t="shared" si="31"/>
        <v>7</v>
      </c>
      <c r="V39" s="262">
        <v>2</v>
      </c>
      <c r="W39" s="262">
        <v>3</v>
      </c>
      <c r="X39" s="262">
        <v>2</v>
      </c>
      <c r="Y39" s="261">
        <f t="shared" si="32"/>
        <v>9</v>
      </c>
      <c r="Z39" s="262">
        <v>6</v>
      </c>
      <c r="AA39" s="262">
        <v>3</v>
      </c>
      <c r="AB39" s="261">
        <v>4</v>
      </c>
      <c r="AC39" s="263"/>
      <c r="AD39" s="264">
        <v>287500</v>
      </c>
      <c r="AE39" s="265">
        <f t="shared" si="17"/>
        <v>8912500</v>
      </c>
      <c r="AF39" s="266">
        <f t="shared" si="18"/>
        <v>2587500</v>
      </c>
      <c r="AG39" s="267">
        <f t="shared" si="19"/>
        <v>3737500</v>
      </c>
      <c r="AH39" s="268">
        <f t="shared" si="20"/>
        <v>2587500</v>
      </c>
      <c r="AI39" s="269">
        <f t="shared" si="12"/>
        <v>0</v>
      </c>
      <c r="AJ39" s="827" t="s">
        <v>4228</v>
      </c>
      <c r="AK39" s="916" t="s">
        <v>4734</v>
      </c>
      <c r="AL39" s="915">
        <v>9</v>
      </c>
      <c r="AM39" s="915">
        <f t="shared" si="10"/>
        <v>22</v>
      </c>
      <c r="AN39" s="399">
        <v>3600450</v>
      </c>
    </row>
    <row r="40" spans="1:40" ht="182.25">
      <c r="A40" s="38">
        <v>33</v>
      </c>
      <c r="B40" s="258" t="s">
        <v>2746</v>
      </c>
      <c r="C40" s="258" t="s">
        <v>126</v>
      </c>
      <c r="D40" s="260">
        <v>33</v>
      </c>
      <c r="E40" s="351" t="s">
        <v>7</v>
      </c>
      <c r="F40" s="258" t="s">
        <v>2746</v>
      </c>
      <c r="G40" s="258" t="s">
        <v>126</v>
      </c>
      <c r="H40" s="258">
        <v>30</v>
      </c>
      <c r="I40" s="1107"/>
      <c r="J40" s="346"/>
      <c r="K40" s="346">
        <v>15</v>
      </c>
      <c r="L40" s="346">
        <v>15</v>
      </c>
      <c r="M40" s="260"/>
      <c r="N40" s="261">
        <f t="shared" si="33"/>
        <v>18</v>
      </c>
      <c r="O40" s="262">
        <v>6</v>
      </c>
      <c r="P40" s="262">
        <v>6</v>
      </c>
      <c r="Q40" s="262">
        <v>6</v>
      </c>
      <c r="R40" s="261">
        <f t="shared" si="30"/>
        <v>4</v>
      </c>
      <c r="S40" s="262">
        <v>4</v>
      </c>
      <c r="T40" s="262"/>
      <c r="U40" s="261">
        <f t="shared" si="31"/>
        <v>15</v>
      </c>
      <c r="V40" s="262">
        <v>6</v>
      </c>
      <c r="W40" s="262">
        <v>6</v>
      </c>
      <c r="X40" s="262">
        <v>3</v>
      </c>
      <c r="Y40" s="261">
        <f t="shared" si="32"/>
        <v>7</v>
      </c>
      <c r="Z40" s="262">
        <v>4</v>
      </c>
      <c r="AA40" s="262">
        <v>3</v>
      </c>
      <c r="AB40" s="261">
        <v>2</v>
      </c>
      <c r="AC40" s="263"/>
      <c r="AD40" s="264">
        <v>980720</v>
      </c>
      <c r="AE40" s="265">
        <f t="shared" si="17"/>
        <v>29421600</v>
      </c>
      <c r="AF40" s="266">
        <f t="shared" si="18"/>
        <v>0</v>
      </c>
      <c r="AG40" s="267">
        <f t="shared" si="19"/>
        <v>14710800</v>
      </c>
      <c r="AH40" s="268">
        <f t="shared" si="20"/>
        <v>14710800</v>
      </c>
      <c r="AI40" s="269">
        <f t="shared" si="12"/>
        <v>0</v>
      </c>
      <c r="AJ40" s="827" t="s">
        <v>4228</v>
      </c>
      <c r="AK40" s="916" t="s">
        <v>4734</v>
      </c>
      <c r="AL40" s="915">
        <v>15</v>
      </c>
      <c r="AM40" s="915">
        <f t="shared" si="10"/>
        <v>15</v>
      </c>
      <c r="AN40" s="399">
        <v>6000750</v>
      </c>
    </row>
    <row r="41" spans="1:40" ht="141.75">
      <c r="A41" s="38">
        <v>34</v>
      </c>
      <c r="B41" s="258" t="s">
        <v>2747</v>
      </c>
      <c r="C41" s="258" t="s">
        <v>126</v>
      </c>
      <c r="D41" s="260">
        <v>34</v>
      </c>
      <c r="E41" s="351" t="s">
        <v>7</v>
      </c>
      <c r="F41" s="258" t="s">
        <v>2747</v>
      </c>
      <c r="G41" s="258" t="s">
        <v>126</v>
      </c>
      <c r="H41" s="258">
        <v>30</v>
      </c>
      <c r="I41" s="1105"/>
      <c r="J41" s="346"/>
      <c r="K41" s="346">
        <v>15</v>
      </c>
      <c r="L41" s="346">
        <v>15</v>
      </c>
      <c r="M41" s="260"/>
      <c r="N41" s="261">
        <f t="shared" si="33"/>
        <v>9</v>
      </c>
      <c r="O41" s="262">
        <v>3</v>
      </c>
      <c r="P41" s="262">
        <v>3</v>
      </c>
      <c r="Q41" s="262">
        <v>3</v>
      </c>
      <c r="R41" s="261">
        <f t="shared" si="30"/>
        <v>4</v>
      </c>
      <c r="S41" s="262">
        <v>2</v>
      </c>
      <c r="T41" s="262">
        <v>2</v>
      </c>
      <c r="U41" s="261">
        <f t="shared" si="31"/>
        <v>12</v>
      </c>
      <c r="V41" s="262">
        <v>4</v>
      </c>
      <c r="W41" s="262">
        <v>4</v>
      </c>
      <c r="X41" s="262">
        <v>4</v>
      </c>
      <c r="Y41" s="261">
        <f t="shared" si="32"/>
        <v>12</v>
      </c>
      <c r="Z41" s="262">
        <v>7</v>
      </c>
      <c r="AA41" s="262">
        <v>5</v>
      </c>
      <c r="AB41" s="261">
        <v>4</v>
      </c>
      <c r="AC41" s="263"/>
      <c r="AD41" s="264">
        <v>276000</v>
      </c>
      <c r="AE41" s="265">
        <f t="shared" si="17"/>
        <v>8280000</v>
      </c>
      <c r="AF41" s="266">
        <f t="shared" si="18"/>
        <v>0</v>
      </c>
      <c r="AG41" s="267">
        <f t="shared" si="19"/>
        <v>4140000</v>
      </c>
      <c r="AH41" s="268">
        <f t="shared" si="20"/>
        <v>4140000</v>
      </c>
      <c r="AI41" s="269">
        <f t="shared" si="12"/>
        <v>0</v>
      </c>
      <c r="AJ41" s="827" t="s">
        <v>4228</v>
      </c>
      <c r="AK41" s="916" t="s">
        <v>4734</v>
      </c>
      <c r="AL41" s="915">
        <v>15</v>
      </c>
      <c r="AM41" s="915">
        <f t="shared" si="10"/>
        <v>15</v>
      </c>
      <c r="AN41" s="399">
        <v>1733550</v>
      </c>
    </row>
    <row r="42" spans="1:40" s="5" customFormat="1" ht="101.25">
      <c r="A42" s="895"/>
      <c r="B42" s="287" t="s">
        <v>10</v>
      </c>
      <c r="C42" s="287" t="s">
        <v>126</v>
      </c>
      <c r="D42" s="250">
        <v>5</v>
      </c>
      <c r="E42" s="352" t="s">
        <v>9</v>
      </c>
      <c r="F42" s="287" t="s">
        <v>10</v>
      </c>
      <c r="G42" s="287" t="s">
        <v>126</v>
      </c>
      <c r="H42" s="248">
        <v>112</v>
      </c>
      <c r="I42" s="249"/>
      <c r="J42" s="250">
        <f>J43+J44+J45+J46+J47+J48+J49++J50</f>
        <v>25</v>
      </c>
      <c r="K42" s="250">
        <f>K43+K44+K45+K46+K47+K48+K49++K50</f>
        <v>50</v>
      </c>
      <c r="L42" s="250">
        <f>L43+L44+L45+L46+L47+L48+L49++L50</f>
        <v>37</v>
      </c>
      <c r="M42" s="250">
        <f>M43+M44+M45+M46+M47+M48+M49++M50</f>
        <v>0</v>
      </c>
      <c r="N42" s="251">
        <f t="shared" ref="N42:AC42" si="34">N43+N44+N45+N46+N47+N48+N49+N50</f>
        <v>40</v>
      </c>
      <c r="O42" s="251">
        <f t="shared" si="34"/>
        <v>14</v>
      </c>
      <c r="P42" s="251">
        <f t="shared" si="34"/>
        <v>14</v>
      </c>
      <c r="Q42" s="251">
        <f t="shared" si="34"/>
        <v>12</v>
      </c>
      <c r="R42" s="251">
        <f t="shared" si="34"/>
        <v>28</v>
      </c>
      <c r="S42" s="251">
        <f t="shared" si="34"/>
        <v>16</v>
      </c>
      <c r="T42" s="251">
        <f t="shared" si="34"/>
        <v>12</v>
      </c>
      <c r="U42" s="251">
        <f t="shared" si="34"/>
        <v>12</v>
      </c>
      <c r="V42" s="251">
        <f t="shared" si="34"/>
        <v>4</v>
      </c>
      <c r="W42" s="251">
        <f t="shared" si="34"/>
        <v>2</v>
      </c>
      <c r="X42" s="251">
        <f t="shared" si="34"/>
        <v>6</v>
      </c>
      <c r="Y42" s="251">
        <f t="shared" si="34"/>
        <v>28</v>
      </c>
      <c r="Z42" s="251">
        <f t="shared" si="34"/>
        <v>16</v>
      </c>
      <c r="AA42" s="251">
        <f t="shared" si="34"/>
        <v>12</v>
      </c>
      <c r="AB42" s="251">
        <f t="shared" si="34"/>
        <v>12</v>
      </c>
      <c r="AC42" s="252">
        <f t="shared" si="34"/>
        <v>0</v>
      </c>
      <c r="AD42" s="253"/>
      <c r="AE42" s="254">
        <f>SUM(AE43:AE50)</f>
        <v>130024730</v>
      </c>
      <c r="AF42" s="255">
        <f>SUM(AF43:AF50)</f>
        <v>34134331</v>
      </c>
      <c r="AG42" s="256">
        <f>SUM(AG43:AG50)</f>
        <v>54464484</v>
      </c>
      <c r="AH42" s="255">
        <f>SUM(AH43:AH50)</f>
        <v>41425915</v>
      </c>
      <c r="AI42" s="274">
        <f t="shared" si="12"/>
        <v>0</v>
      </c>
      <c r="AJ42" s="828"/>
      <c r="AK42" s="915"/>
      <c r="AL42" s="915"/>
      <c r="AM42" s="915">
        <f t="shared" si="10"/>
        <v>112</v>
      </c>
      <c r="AN42" s="399"/>
    </row>
    <row r="43" spans="1:40" ht="162">
      <c r="A43" s="38">
        <v>35</v>
      </c>
      <c r="B43" s="258" t="s">
        <v>2748</v>
      </c>
      <c r="C43" s="258" t="s">
        <v>126</v>
      </c>
      <c r="D43" s="260">
        <v>35</v>
      </c>
      <c r="E43" s="351" t="s">
        <v>11</v>
      </c>
      <c r="F43" s="258" t="s">
        <v>2748</v>
      </c>
      <c r="G43" s="258" t="s">
        <v>126</v>
      </c>
      <c r="H43" s="419">
        <v>16</v>
      </c>
      <c r="I43" s="1101" t="s">
        <v>231</v>
      </c>
      <c r="J43" s="346"/>
      <c r="K43" s="346">
        <v>8</v>
      </c>
      <c r="L43" s="346">
        <v>8</v>
      </c>
      <c r="M43" s="260"/>
      <c r="N43" s="261">
        <f>O43+P43+Q43</f>
        <v>6</v>
      </c>
      <c r="O43" s="262">
        <v>2</v>
      </c>
      <c r="P43" s="262">
        <v>2</v>
      </c>
      <c r="Q43" s="262">
        <v>2</v>
      </c>
      <c r="R43" s="261">
        <f t="shared" ref="R43:R50" si="35">S43+T43</f>
        <v>4</v>
      </c>
      <c r="S43" s="262">
        <v>2</v>
      </c>
      <c r="T43" s="262">
        <v>2</v>
      </c>
      <c r="U43" s="261">
        <f t="shared" ref="U43:U50" si="36">V43+W43+X43</f>
        <v>6</v>
      </c>
      <c r="V43" s="262">
        <v>2</v>
      </c>
      <c r="W43" s="262">
        <v>2</v>
      </c>
      <c r="X43" s="262">
        <v>2</v>
      </c>
      <c r="Y43" s="261">
        <f t="shared" ref="Y43:Y50" si="37">Z43+AA43</f>
        <v>4</v>
      </c>
      <c r="Z43" s="262">
        <v>2</v>
      </c>
      <c r="AA43" s="262">
        <v>2</v>
      </c>
      <c r="AB43" s="261"/>
      <c r="AC43" s="263"/>
      <c r="AD43" s="264">
        <v>548993</v>
      </c>
      <c r="AE43" s="265">
        <f t="shared" si="17"/>
        <v>8783888</v>
      </c>
      <c r="AF43" s="266">
        <f t="shared" si="18"/>
        <v>0</v>
      </c>
      <c r="AG43" s="267">
        <f t="shared" si="19"/>
        <v>4391944</v>
      </c>
      <c r="AH43" s="268">
        <f t="shared" si="20"/>
        <v>4391944</v>
      </c>
      <c r="AI43" s="269">
        <f t="shared" si="12"/>
        <v>0</v>
      </c>
      <c r="AJ43" s="827" t="s">
        <v>4228</v>
      </c>
      <c r="AK43" s="916" t="s">
        <v>4734</v>
      </c>
      <c r="AL43" s="916">
        <v>8</v>
      </c>
      <c r="AM43" s="915">
        <f t="shared" si="10"/>
        <v>8</v>
      </c>
      <c r="AN43" s="399">
        <v>5689600</v>
      </c>
    </row>
    <row r="44" spans="1:40" ht="162">
      <c r="A44" s="38">
        <v>36</v>
      </c>
      <c r="B44" s="258" t="s">
        <v>2749</v>
      </c>
      <c r="C44" s="258" t="s">
        <v>126</v>
      </c>
      <c r="D44" s="260">
        <v>36</v>
      </c>
      <c r="E44" s="351" t="s">
        <v>11</v>
      </c>
      <c r="F44" s="258" t="s">
        <v>2749</v>
      </c>
      <c r="G44" s="258" t="s">
        <v>126</v>
      </c>
      <c r="H44" s="419">
        <v>18</v>
      </c>
      <c r="I44" s="1102"/>
      <c r="J44" s="346">
        <v>6</v>
      </c>
      <c r="K44" s="346">
        <v>6</v>
      </c>
      <c r="L44" s="346">
        <v>6</v>
      </c>
      <c r="M44" s="260"/>
      <c r="N44" s="261">
        <f t="shared" ref="N44:N50" si="38">O44+P44+Q44</f>
        <v>6</v>
      </c>
      <c r="O44" s="262">
        <v>2</v>
      </c>
      <c r="P44" s="262">
        <v>2</v>
      </c>
      <c r="Q44" s="262">
        <v>2</v>
      </c>
      <c r="R44" s="261">
        <f t="shared" si="35"/>
        <v>4</v>
      </c>
      <c r="S44" s="262">
        <v>2</v>
      </c>
      <c r="T44" s="262">
        <v>2</v>
      </c>
      <c r="U44" s="261">
        <f t="shared" si="36"/>
        <v>2</v>
      </c>
      <c r="V44" s="262"/>
      <c r="W44" s="262"/>
      <c r="X44" s="262">
        <v>2</v>
      </c>
      <c r="Y44" s="261">
        <f t="shared" si="37"/>
        <v>4</v>
      </c>
      <c r="Z44" s="262">
        <v>2</v>
      </c>
      <c r="AA44" s="262">
        <v>2</v>
      </c>
      <c r="AB44" s="261">
        <v>2</v>
      </c>
      <c r="AC44" s="263"/>
      <c r="AD44" s="264">
        <v>386676</v>
      </c>
      <c r="AE44" s="265">
        <f t="shared" si="17"/>
        <v>6960168</v>
      </c>
      <c r="AF44" s="266">
        <f t="shared" si="18"/>
        <v>2320056</v>
      </c>
      <c r="AG44" s="267">
        <f t="shared" si="19"/>
        <v>2320056</v>
      </c>
      <c r="AH44" s="268">
        <f t="shared" si="20"/>
        <v>2320056</v>
      </c>
      <c r="AI44" s="269">
        <f t="shared" si="12"/>
        <v>0</v>
      </c>
      <c r="AJ44" s="827" t="s">
        <v>4228</v>
      </c>
      <c r="AK44" s="916" t="s">
        <v>4734</v>
      </c>
      <c r="AL44" s="916">
        <v>4</v>
      </c>
      <c r="AM44" s="915">
        <f t="shared" si="10"/>
        <v>14</v>
      </c>
      <c r="AN44" s="399">
        <v>2489200</v>
      </c>
    </row>
    <row r="45" spans="1:40" ht="162">
      <c r="A45" s="38">
        <v>37</v>
      </c>
      <c r="B45" s="258" t="s">
        <v>2750</v>
      </c>
      <c r="C45" s="258" t="s">
        <v>126</v>
      </c>
      <c r="D45" s="260">
        <v>37</v>
      </c>
      <c r="E45" s="351" t="s">
        <v>11</v>
      </c>
      <c r="F45" s="258" t="s">
        <v>2750</v>
      </c>
      <c r="G45" s="258" t="s">
        <v>126</v>
      </c>
      <c r="H45" s="419">
        <v>16</v>
      </c>
      <c r="I45" s="1102"/>
      <c r="J45" s="346">
        <v>4</v>
      </c>
      <c r="K45" s="346">
        <v>8</v>
      </c>
      <c r="L45" s="346">
        <v>4</v>
      </c>
      <c r="M45" s="260"/>
      <c r="N45" s="261">
        <f t="shared" si="38"/>
        <v>4</v>
      </c>
      <c r="O45" s="262"/>
      <c r="P45" s="262">
        <v>2</v>
      </c>
      <c r="Q45" s="262">
        <v>2</v>
      </c>
      <c r="R45" s="261">
        <f t="shared" si="35"/>
        <v>4</v>
      </c>
      <c r="S45" s="262">
        <v>2</v>
      </c>
      <c r="T45" s="262">
        <v>2</v>
      </c>
      <c r="U45" s="261">
        <f t="shared" si="36"/>
        <v>2</v>
      </c>
      <c r="V45" s="262"/>
      <c r="W45" s="262"/>
      <c r="X45" s="262">
        <v>2</v>
      </c>
      <c r="Y45" s="261">
        <f t="shared" si="37"/>
        <v>4</v>
      </c>
      <c r="Z45" s="262">
        <v>2</v>
      </c>
      <c r="AA45" s="262">
        <v>2</v>
      </c>
      <c r="AB45" s="261">
        <v>2</v>
      </c>
      <c r="AC45" s="263"/>
      <c r="AD45" s="264">
        <v>324300</v>
      </c>
      <c r="AE45" s="265">
        <f t="shared" si="17"/>
        <v>5188800</v>
      </c>
      <c r="AF45" s="266">
        <f t="shared" si="18"/>
        <v>1297200</v>
      </c>
      <c r="AG45" s="267">
        <f t="shared" si="19"/>
        <v>2594400</v>
      </c>
      <c r="AH45" s="268">
        <f t="shared" si="20"/>
        <v>1297200</v>
      </c>
      <c r="AI45" s="269">
        <f t="shared" si="12"/>
        <v>0</v>
      </c>
      <c r="AJ45" s="827" t="s">
        <v>4228</v>
      </c>
      <c r="AK45" s="919" t="s">
        <v>4821</v>
      </c>
      <c r="AL45" s="916">
        <v>4</v>
      </c>
      <c r="AM45" s="915">
        <f t="shared" si="10"/>
        <v>12</v>
      </c>
      <c r="AN45" s="399">
        <v>3659760</v>
      </c>
    </row>
    <row r="46" spans="1:40" ht="162">
      <c r="A46" s="38">
        <v>38</v>
      </c>
      <c r="B46" s="258" t="s">
        <v>2751</v>
      </c>
      <c r="C46" s="258" t="s">
        <v>126</v>
      </c>
      <c r="D46" s="260">
        <v>38</v>
      </c>
      <c r="E46" s="351" t="s">
        <v>12</v>
      </c>
      <c r="F46" s="258" t="s">
        <v>2751</v>
      </c>
      <c r="G46" s="258" t="s">
        <v>126</v>
      </c>
      <c r="H46" s="419">
        <v>14</v>
      </c>
      <c r="I46" s="1102"/>
      <c r="J46" s="346">
        <v>4</v>
      </c>
      <c r="K46" s="346">
        <v>6</v>
      </c>
      <c r="L46" s="346">
        <v>4</v>
      </c>
      <c r="M46" s="260"/>
      <c r="N46" s="261">
        <f t="shared" si="38"/>
        <v>4</v>
      </c>
      <c r="O46" s="262">
        <v>2</v>
      </c>
      <c r="P46" s="262"/>
      <c r="Q46" s="262">
        <v>2</v>
      </c>
      <c r="R46" s="261">
        <f t="shared" si="35"/>
        <v>2</v>
      </c>
      <c r="S46" s="262">
        <v>2</v>
      </c>
      <c r="T46" s="262"/>
      <c r="U46" s="261">
        <f t="shared" si="36"/>
        <v>2</v>
      </c>
      <c r="V46" s="262">
        <v>2</v>
      </c>
      <c r="W46" s="262"/>
      <c r="X46" s="262"/>
      <c r="Y46" s="261">
        <f t="shared" si="37"/>
        <v>4</v>
      </c>
      <c r="Z46" s="262">
        <v>2</v>
      </c>
      <c r="AA46" s="262">
        <v>2</v>
      </c>
      <c r="AB46" s="261">
        <v>2</v>
      </c>
      <c r="AC46" s="263"/>
      <c r="AD46" s="264">
        <v>2057304</v>
      </c>
      <c r="AE46" s="265">
        <f t="shared" si="17"/>
        <v>28802256</v>
      </c>
      <c r="AF46" s="266">
        <f t="shared" si="18"/>
        <v>8229216</v>
      </c>
      <c r="AG46" s="267">
        <f t="shared" si="19"/>
        <v>12343824</v>
      </c>
      <c r="AH46" s="268">
        <f t="shared" si="20"/>
        <v>8229216</v>
      </c>
      <c r="AI46" s="269">
        <f t="shared" si="12"/>
        <v>0</v>
      </c>
      <c r="AJ46" s="827" t="s">
        <v>4228</v>
      </c>
      <c r="AK46" s="919" t="s">
        <v>4821</v>
      </c>
      <c r="AL46" s="916">
        <v>4</v>
      </c>
      <c r="AM46" s="915">
        <f t="shared" si="10"/>
        <v>10</v>
      </c>
      <c r="AN46" s="399">
        <v>18328720</v>
      </c>
    </row>
    <row r="47" spans="1:40" ht="162">
      <c r="A47" s="38">
        <v>39</v>
      </c>
      <c r="B47" s="258" t="s">
        <v>2752</v>
      </c>
      <c r="C47" s="258" t="s">
        <v>126</v>
      </c>
      <c r="D47" s="260">
        <v>39</v>
      </c>
      <c r="E47" s="351" t="s">
        <v>12</v>
      </c>
      <c r="F47" s="258" t="s">
        <v>2752</v>
      </c>
      <c r="G47" s="258" t="s">
        <v>126</v>
      </c>
      <c r="H47" s="419">
        <v>14</v>
      </c>
      <c r="I47" s="1103"/>
      <c r="J47" s="346">
        <v>4</v>
      </c>
      <c r="K47" s="346">
        <v>6</v>
      </c>
      <c r="L47" s="346">
        <v>4</v>
      </c>
      <c r="M47" s="260"/>
      <c r="N47" s="261">
        <f t="shared" si="38"/>
        <v>6</v>
      </c>
      <c r="O47" s="262">
        <v>2</v>
      </c>
      <c r="P47" s="262">
        <v>2</v>
      </c>
      <c r="Q47" s="262">
        <v>2</v>
      </c>
      <c r="R47" s="261">
        <f t="shared" si="35"/>
        <v>4</v>
      </c>
      <c r="S47" s="262">
        <v>2</v>
      </c>
      <c r="T47" s="262">
        <v>2</v>
      </c>
      <c r="U47" s="261">
        <f t="shared" si="36"/>
        <v>0</v>
      </c>
      <c r="V47" s="262"/>
      <c r="W47" s="262"/>
      <c r="X47" s="262"/>
      <c r="Y47" s="261">
        <f t="shared" si="37"/>
        <v>4</v>
      </c>
      <c r="Z47" s="262">
        <v>2</v>
      </c>
      <c r="AA47" s="262">
        <v>2</v>
      </c>
      <c r="AB47" s="261"/>
      <c r="AC47" s="263"/>
      <c r="AD47" s="264">
        <v>552000</v>
      </c>
      <c r="AE47" s="265">
        <f t="shared" si="17"/>
        <v>7728000</v>
      </c>
      <c r="AF47" s="266">
        <f t="shared" si="18"/>
        <v>2208000</v>
      </c>
      <c r="AG47" s="267">
        <f t="shared" si="19"/>
        <v>3312000</v>
      </c>
      <c r="AH47" s="268">
        <f t="shared" si="20"/>
        <v>2208000</v>
      </c>
      <c r="AI47" s="269">
        <f t="shared" si="12"/>
        <v>0</v>
      </c>
      <c r="AJ47" s="827" t="s">
        <v>4228</v>
      </c>
      <c r="AK47" s="919" t="s">
        <v>4821</v>
      </c>
      <c r="AL47" s="916">
        <v>4</v>
      </c>
      <c r="AM47" s="915">
        <f t="shared" si="10"/>
        <v>10</v>
      </c>
      <c r="AN47" s="399">
        <v>16745000</v>
      </c>
    </row>
    <row r="48" spans="1:40" ht="60.75">
      <c r="A48" s="38">
        <v>40</v>
      </c>
      <c r="B48" s="258" t="s">
        <v>2753</v>
      </c>
      <c r="C48" s="258" t="s">
        <v>126</v>
      </c>
      <c r="D48" s="260">
        <v>40</v>
      </c>
      <c r="E48" s="351" t="s">
        <v>13</v>
      </c>
      <c r="F48" s="258" t="s">
        <v>2753</v>
      </c>
      <c r="G48" s="258" t="s">
        <v>126</v>
      </c>
      <c r="H48" s="419">
        <f>N48+R48+U48+Y48+AB48+AC48</f>
        <v>10</v>
      </c>
      <c r="I48" s="1101" t="s">
        <v>232</v>
      </c>
      <c r="J48" s="346">
        <v>3</v>
      </c>
      <c r="K48" s="346">
        <v>4</v>
      </c>
      <c r="L48" s="346">
        <v>3</v>
      </c>
      <c r="M48" s="260"/>
      <c r="N48" s="261">
        <f t="shared" si="38"/>
        <v>4</v>
      </c>
      <c r="O48" s="262">
        <v>2</v>
      </c>
      <c r="P48" s="262">
        <v>2</v>
      </c>
      <c r="Q48" s="262"/>
      <c r="R48" s="261">
        <f t="shared" si="35"/>
        <v>2</v>
      </c>
      <c r="S48" s="262">
        <v>2</v>
      </c>
      <c r="T48" s="262"/>
      <c r="U48" s="261">
        <f t="shared" si="36"/>
        <v>0</v>
      </c>
      <c r="V48" s="262"/>
      <c r="W48" s="262"/>
      <c r="X48" s="262"/>
      <c r="Y48" s="261">
        <f t="shared" si="37"/>
        <v>2</v>
      </c>
      <c r="Z48" s="262">
        <v>2</v>
      </c>
      <c r="AA48" s="262"/>
      <c r="AB48" s="261">
        <v>2</v>
      </c>
      <c r="AC48" s="263"/>
      <c r="AD48" s="264">
        <v>3623121</v>
      </c>
      <c r="AE48" s="265">
        <f t="shared" si="17"/>
        <v>36231210</v>
      </c>
      <c r="AF48" s="266">
        <f t="shared" si="18"/>
        <v>10869363</v>
      </c>
      <c r="AG48" s="267">
        <f t="shared" si="19"/>
        <v>14492484</v>
      </c>
      <c r="AH48" s="268">
        <f t="shared" si="20"/>
        <v>10869363</v>
      </c>
      <c r="AI48" s="269">
        <f t="shared" si="12"/>
        <v>0</v>
      </c>
      <c r="AJ48" s="827" t="s">
        <v>4228</v>
      </c>
      <c r="AK48" s="916" t="s">
        <v>4738</v>
      </c>
      <c r="AL48" s="916">
        <v>3</v>
      </c>
      <c r="AM48" s="915">
        <f t="shared" si="10"/>
        <v>7</v>
      </c>
      <c r="AN48" s="399">
        <v>7165401.5999999996</v>
      </c>
    </row>
    <row r="49" spans="1:40" ht="40.5">
      <c r="A49" s="38">
        <v>41</v>
      </c>
      <c r="B49" s="258" t="s">
        <v>2754</v>
      </c>
      <c r="C49" s="258" t="s">
        <v>126</v>
      </c>
      <c r="D49" s="260">
        <v>41</v>
      </c>
      <c r="E49" s="351" t="s">
        <v>13</v>
      </c>
      <c r="F49" s="258" t="s">
        <v>2754</v>
      </c>
      <c r="G49" s="258" t="s">
        <v>126</v>
      </c>
      <c r="H49" s="419">
        <v>12</v>
      </c>
      <c r="I49" s="1102"/>
      <c r="J49" s="346"/>
      <c r="K49" s="346">
        <v>8</v>
      </c>
      <c r="L49" s="346">
        <v>4</v>
      </c>
      <c r="M49" s="260"/>
      <c r="N49" s="261">
        <f t="shared" si="38"/>
        <v>6</v>
      </c>
      <c r="O49" s="262">
        <v>2</v>
      </c>
      <c r="P49" s="262">
        <v>2</v>
      </c>
      <c r="Q49" s="262">
        <v>2</v>
      </c>
      <c r="R49" s="261">
        <f t="shared" si="35"/>
        <v>4</v>
      </c>
      <c r="S49" s="262">
        <v>2</v>
      </c>
      <c r="T49" s="262">
        <v>2</v>
      </c>
      <c r="U49" s="261">
        <f t="shared" si="36"/>
        <v>0</v>
      </c>
      <c r="V49" s="262"/>
      <c r="W49" s="262"/>
      <c r="X49" s="262"/>
      <c r="Y49" s="261">
        <f t="shared" si="37"/>
        <v>4</v>
      </c>
      <c r="Z49" s="262">
        <v>2</v>
      </c>
      <c r="AA49" s="262">
        <v>2</v>
      </c>
      <c r="AB49" s="261">
        <v>2</v>
      </c>
      <c r="AC49" s="263"/>
      <c r="AD49" s="264">
        <v>724910</v>
      </c>
      <c r="AE49" s="265">
        <f t="shared" si="17"/>
        <v>8698920</v>
      </c>
      <c r="AF49" s="266">
        <f t="shared" si="18"/>
        <v>0</v>
      </c>
      <c r="AG49" s="267">
        <f t="shared" si="19"/>
        <v>5799280</v>
      </c>
      <c r="AH49" s="268">
        <f t="shared" si="20"/>
        <v>2899640</v>
      </c>
      <c r="AI49" s="269">
        <f t="shared" si="12"/>
        <v>0</v>
      </c>
      <c r="AJ49" s="827" t="s">
        <v>4228</v>
      </c>
      <c r="AK49" s="916" t="s">
        <v>4738</v>
      </c>
      <c r="AL49" s="916">
        <v>8</v>
      </c>
      <c r="AM49" s="915">
        <f t="shared" si="10"/>
        <v>4</v>
      </c>
      <c r="AN49" s="399">
        <v>9028167.6799999997</v>
      </c>
    </row>
    <row r="50" spans="1:40" ht="202.5">
      <c r="A50" s="38">
        <v>42</v>
      </c>
      <c r="B50" s="258" t="s">
        <v>2755</v>
      </c>
      <c r="C50" s="258" t="s">
        <v>126</v>
      </c>
      <c r="D50" s="260">
        <v>42</v>
      </c>
      <c r="E50" s="351" t="s">
        <v>14</v>
      </c>
      <c r="F50" s="258" t="s">
        <v>2755</v>
      </c>
      <c r="G50" s="258" t="s">
        <v>126</v>
      </c>
      <c r="H50" s="419">
        <v>12</v>
      </c>
      <c r="I50" s="1103"/>
      <c r="J50" s="346">
        <v>4</v>
      </c>
      <c r="K50" s="346">
        <v>4</v>
      </c>
      <c r="L50" s="346">
        <v>4</v>
      </c>
      <c r="M50" s="260"/>
      <c r="N50" s="261">
        <f t="shared" si="38"/>
        <v>4</v>
      </c>
      <c r="O50" s="262">
        <v>2</v>
      </c>
      <c r="P50" s="262">
        <v>2</v>
      </c>
      <c r="Q50" s="262"/>
      <c r="R50" s="261">
        <f t="shared" si="35"/>
        <v>4</v>
      </c>
      <c r="S50" s="262">
        <v>2</v>
      </c>
      <c r="T50" s="262">
        <v>2</v>
      </c>
      <c r="U50" s="261">
        <f t="shared" si="36"/>
        <v>0</v>
      </c>
      <c r="V50" s="262"/>
      <c r="W50" s="262"/>
      <c r="X50" s="262"/>
      <c r="Y50" s="261">
        <f t="shared" si="37"/>
        <v>2</v>
      </c>
      <c r="Z50" s="262">
        <v>2</v>
      </c>
      <c r="AA50" s="262"/>
      <c r="AB50" s="261">
        <v>2</v>
      </c>
      <c r="AC50" s="263"/>
      <c r="AD50" s="264">
        <v>2302624</v>
      </c>
      <c r="AE50" s="265">
        <f t="shared" si="17"/>
        <v>27631488</v>
      </c>
      <c r="AF50" s="266">
        <f t="shared" si="18"/>
        <v>9210496</v>
      </c>
      <c r="AG50" s="267">
        <f t="shared" si="19"/>
        <v>9210496</v>
      </c>
      <c r="AH50" s="268">
        <f t="shared" si="20"/>
        <v>9210496</v>
      </c>
      <c r="AI50" s="269">
        <f t="shared" si="12"/>
        <v>0</v>
      </c>
      <c r="AJ50" s="827" t="s">
        <v>4228</v>
      </c>
      <c r="AK50" s="916" t="s">
        <v>4738</v>
      </c>
      <c r="AL50" s="916">
        <v>4</v>
      </c>
      <c r="AM50" s="915">
        <f t="shared" si="10"/>
        <v>8</v>
      </c>
      <c r="AN50" s="399">
        <v>19705280</v>
      </c>
    </row>
    <row r="51" spans="1:40" s="5" customFormat="1" ht="101.25">
      <c r="A51" s="895"/>
      <c r="B51" s="248" t="s">
        <v>16</v>
      </c>
      <c r="C51" s="248" t="s">
        <v>126</v>
      </c>
      <c r="D51" s="250">
        <v>6</v>
      </c>
      <c r="E51" s="352" t="s">
        <v>15</v>
      </c>
      <c r="F51" s="248" t="s">
        <v>16</v>
      </c>
      <c r="G51" s="248" t="s">
        <v>126</v>
      </c>
      <c r="H51" s="248">
        <f>N51+R51+U51+Y51+AB51+AC51</f>
        <v>141</v>
      </c>
      <c r="I51" s="249"/>
      <c r="J51" s="250">
        <f>J52+J53+J54+J55+J56</f>
        <v>19</v>
      </c>
      <c r="K51" s="250">
        <f>K52+K53+K54+K55+K56+K57</f>
        <v>57</v>
      </c>
      <c r="L51" s="250">
        <f>L52+L53+L54+L55+L56+L57</f>
        <v>39</v>
      </c>
      <c r="M51" s="250">
        <f>M52+M53+M54+M55+M56+M57</f>
        <v>0</v>
      </c>
      <c r="N51" s="251">
        <f>N52+N53+N54+N55+N56+N57</f>
        <v>29</v>
      </c>
      <c r="O51" s="251">
        <f t="shared" ref="O51:AC51" si="39">O52+O53+O54+O55+O56+O57</f>
        <v>8</v>
      </c>
      <c r="P51" s="251">
        <f t="shared" si="39"/>
        <v>11</v>
      </c>
      <c r="Q51" s="251">
        <f t="shared" si="39"/>
        <v>10</v>
      </c>
      <c r="R51" s="251">
        <f t="shared" si="39"/>
        <v>16</v>
      </c>
      <c r="S51" s="251">
        <f t="shared" si="39"/>
        <v>8</v>
      </c>
      <c r="T51" s="251">
        <f t="shared" si="39"/>
        <v>8</v>
      </c>
      <c r="U51" s="251">
        <f t="shared" si="39"/>
        <v>31</v>
      </c>
      <c r="V51" s="251">
        <f t="shared" si="39"/>
        <v>10</v>
      </c>
      <c r="W51" s="251">
        <f t="shared" si="39"/>
        <v>11</v>
      </c>
      <c r="X51" s="251">
        <f t="shared" si="39"/>
        <v>10</v>
      </c>
      <c r="Y51" s="251">
        <f t="shared" si="39"/>
        <v>35</v>
      </c>
      <c r="Z51" s="251">
        <f t="shared" si="39"/>
        <v>20</v>
      </c>
      <c r="AA51" s="251">
        <f t="shared" si="39"/>
        <v>15</v>
      </c>
      <c r="AB51" s="251">
        <f t="shared" si="39"/>
        <v>30</v>
      </c>
      <c r="AC51" s="252">
        <f t="shared" si="39"/>
        <v>0</v>
      </c>
      <c r="AD51" s="253"/>
      <c r="AE51" s="254">
        <f>SUM(AE52:AE57)</f>
        <v>285982928</v>
      </c>
      <c r="AF51" s="255">
        <f>SUM(AF52:AF57)</f>
        <v>70656888</v>
      </c>
      <c r="AG51" s="256">
        <f>SUM(AG52:AG57)</f>
        <v>135377202</v>
      </c>
      <c r="AH51" s="255">
        <f>SUM(AH52:AH57)</f>
        <v>79948838</v>
      </c>
      <c r="AI51" s="274">
        <f t="shared" si="12"/>
        <v>0</v>
      </c>
      <c r="AJ51" s="828"/>
      <c r="AK51" s="916"/>
      <c r="AL51" s="916"/>
      <c r="AM51" s="915">
        <f t="shared" si="10"/>
        <v>141</v>
      </c>
      <c r="AN51" s="399"/>
    </row>
    <row r="52" spans="1:40" ht="60.75">
      <c r="A52" s="38">
        <v>43</v>
      </c>
      <c r="B52" s="258" t="s">
        <v>2756</v>
      </c>
      <c r="C52" s="258" t="s">
        <v>126</v>
      </c>
      <c r="D52" s="260">
        <v>43</v>
      </c>
      <c r="E52" s="351" t="s">
        <v>17</v>
      </c>
      <c r="F52" s="258" t="s">
        <v>2756</v>
      </c>
      <c r="G52" s="258" t="s">
        <v>126</v>
      </c>
      <c r="H52" s="419">
        <v>22</v>
      </c>
      <c r="I52" s="1101" t="s">
        <v>233</v>
      </c>
      <c r="J52" s="346">
        <v>6</v>
      </c>
      <c r="K52" s="346">
        <v>10</v>
      </c>
      <c r="L52" s="346">
        <v>6</v>
      </c>
      <c r="M52" s="260"/>
      <c r="N52" s="261">
        <f t="shared" ref="N52:N57" si="40">O52+P52+Q52</f>
        <v>6</v>
      </c>
      <c r="O52" s="262">
        <v>2</v>
      </c>
      <c r="P52" s="262">
        <v>2</v>
      </c>
      <c r="Q52" s="262">
        <v>2</v>
      </c>
      <c r="R52" s="261">
        <f t="shared" ref="R52:R57" si="41">S52+T52</f>
        <v>4</v>
      </c>
      <c r="S52" s="262">
        <v>2</v>
      </c>
      <c r="T52" s="262">
        <v>2</v>
      </c>
      <c r="U52" s="261">
        <f t="shared" ref="U52:U57" si="42">V52+W52+X52</f>
        <v>6</v>
      </c>
      <c r="V52" s="262">
        <v>2</v>
      </c>
      <c r="W52" s="262">
        <v>2</v>
      </c>
      <c r="X52" s="262">
        <v>2</v>
      </c>
      <c r="Y52" s="261">
        <f t="shared" ref="Y52:Y57" si="43">Z52+AA52</f>
        <v>4</v>
      </c>
      <c r="Z52" s="262">
        <v>2</v>
      </c>
      <c r="AA52" s="262">
        <v>2</v>
      </c>
      <c r="AB52" s="261">
        <v>2</v>
      </c>
      <c r="AC52" s="263"/>
      <c r="AD52" s="264">
        <v>3500000</v>
      </c>
      <c r="AE52" s="265">
        <f t="shared" si="17"/>
        <v>77000000</v>
      </c>
      <c r="AF52" s="266">
        <f t="shared" si="18"/>
        <v>21000000</v>
      </c>
      <c r="AG52" s="267">
        <f t="shared" si="19"/>
        <v>35000000</v>
      </c>
      <c r="AH52" s="268">
        <f t="shared" si="20"/>
        <v>21000000</v>
      </c>
      <c r="AI52" s="269">
        <f t="shared" si="12"/>
        <v>0</v>
      </c>
      <c r="AJ52" s="827" t="s">
        <v>4228</v>
      </c>
      <c r="AK52" s="916" t="s">
        <v>4738</v>
      </c>
      <c r="AL52" s="916">
        <v>8</v>
      </c>
      <c r="AM52" s="915">
        <f t="shared" si="10"/>
        <v>14</v>
      </c>
      <c r="AN52" s="399">
        <v>9779849.5199999996</v>
      </c>
    </row>
    <row r="53" spans="1:40" ht="81">
      <c r="A53" s="38">
        <v>44</v>
      </c>
      <c r="B53" s="258" t="s">
        <v>2757</v>
      </c>
      <c r="C53" s="258" t="s">
        <v>126</v>
      </c>
      <c r="D53" s="260">
        <v>44</v>
      </c>
      <c r="E53" s="351" t="s">
        <v>17</v>
      </c>
      <c r="F53" s="258" t="s">
        <v>2757</v>
      </c>
      <c r="G53" s="258" t="s">
        <v>126</v>
      </c>
      <c r="H53" s="419">
        <f>N53+R53+U53+Y53+AB53+AC53</f>
        <v>18</v>
      </c>
      <c r="I53" s="1102"/>
      <c r="J53" s="346">
        <v>6</v>
      </c>
      <c r="K53" s="346">
        <v>6</v>
      </c>
      <c r="L53" s="346">
        <v>6</v>
      </c>
      <c r="M53" s="260"/>
      <c r="N53" s="261">
        <f t="shared" si="40"/>
        <v>6</v>
      </c>
      <c r="O53" s="262">
        <v>2</v>
      </c>
      <c r="P53" s="262">
        <v>2</v>
      </c>
      <c r="Q53" s="262">
        <v>2</v>
      </c>
      <c r="R53" s="261">
        <f t="shared" si="41"/>
        <v>0</v>
      </c>
      <c r="S53" s="262"/>
      <c r="T53" s="262"/>
      <c r="U53" s="261">
        <f t="shared" si="42"/>
        <v>6</v>
      </c>
      <c r="V53" s="262">
        <v>2</v>
      </c>
      <c r="W53" s="262">
        <v>2</v>
      </c>
      <c r="X53" s="262">
        <v>2</v>
      </c>
      <c r="Y53" s="261">
        <f t="shared" si="43"/>
        <v>4</v>
      </c>
      <c r="Z53" s="262">
        <v>2</v>
      </c>
      <c r="AA53" s="262">
        <v>2</v>
      </c>
      <c r="AB53" s="261">
        <v>2</v>
      </c>
      <c r="AC53" s="263"/>
      <c r="AD53" s="264">
        <v>8029300</v>
      </c>
      <c r="AE53" s="265">
        <f t="shared" si="17"/>
        <v>144527400</v>
      </c>
      <c r="AF53" s="266">
        <f t="shared" si="18"/>
        <v>48175800</v>
      </c>
      <c r="AG53" s="267">
        <f t="shared" si="19"/>
        <v>48175800</v>
      </c>
      <c r="AH53" s="268">
        <f t="shared" si="20"/>
        <v>48175800</v>
      </c>
      <c r="AI53" s="269">
        <f t="shared" si="12"/>
        <v>0</v>
      </c>
      <c r="AJ53" s="827" t="s">
        <v>4228</v>
      </c>
      <c r="AK53" s="916" t="s">
        <v>4738</v>
      </c>
      <c r="AL53" s="916">
        <v>4</v>
      </c>
      <c r="AM53" s="915">
        <f t="shared" si="10"/>
        <v>14</v>
      </c>
      <c r="AN53" s="399">
        <v>9187852.8000000007</v>
      </c>
    </row>
    <row r="54" spans="1:40" ht="121.5">
      <c r="A54" s="38">
        <v>45</v>
      </c>
      <c r="B54" s="258" t="s">
        <v>2758</v>
      </c>
      <c r="C54" s="258" t="s">
        <v>126</v>
      </c>
      <c r="D54" s="260">
        <v>45</v>
      </c>
      <c r="E54" s="351" t="s">
        <v>17</v>
      </c>
      <c r="F54" s="258" t="s">
        <v>2758</v>
      </c>
      <c r="G54" s="258" t="s">
        <v>126</v>
      </c>
      <c r="H54" s="419">
        <v>22</v>
      </c>
      <c r="I54" s="1102"/>
      <c r="J54" s="346">
        <v>7</v>
      </c>
      <c r="K54" s="346">
        <v>8</v>
      </c>
      <c r="L54" s="346">
        <v>7</v>
      </c>
      <c r="M54" s="260"/>
      <c r="N54" s="261">
        <f t="shared" si="40"/>
        <v>6</v>
      </c>
      <c r="O54" s="262">
        <v>2</v>
      </c>
      <c r="P54" s="262">
        <v>2</v>
      </c>
      <c r="Q54" s="262">
        <v>2</v>
      </c>
      <c r="R54" s="261">
        <f t="shared" si="41"/>
        <v>4</v>
      </c>
      <c r="S54" s="262">
        <v>2</v>
      </c>
      <c r="T54" s="262">
        <v>2</v>
      </c>
      <c r="U54" s="261">
        <f t="shared" si="42"/>
        <v>6</v>
      </c>
      <c r="V54" s="262">
        <v>2</v>
      </c>
      <c r="W54" s="262">
        <v>2</v>
      </c>
      <c r="X54" s="262">
        <v>2</v>
      </c>
      <c r="Y54" s="261">
        <f t="shared" si="43"/>
        <v>4</v>
      </c>
      <c r="Z54" s="262">
        <v>2</v>
      </c>
      <c r="AA54" s="262">
        <v>2</v>
      </c>
      <c r="AB54" s="261">
        <v>2</v>
      </c>
      <c r="AC54" s="263"/>
      <c r="AD54" s="264">
        <v>211584</v>
      </c>
      <c r="AE54" s="265">
        <f t="shared" si="17"/>
        <v>4654848</v>
      </c>
      <c r="AF54" s="266">
        <f t="shared" si="18"/>
        <v>1481088</v>
      </c>
      <c r="AG54" s="267">
        <f t="shared" si="19"/>
        <v>1692672</v>
      </c>
      <c r="AH54" s="268">
        <f t="shared" si="20"/>
        <v>1481088</v>
      </c>
      <c r="AI54" s="269">
        <f t="shared" si="12"/>
        <v>0</v>
      </c>
      <c r="AJ54" s="827" t="s">
        <v>4228</v>
      </c>
      <c r="AK54" s="919" t="s">
        <v>4821</v>
      </c>
      <c r="AL54" s="916">
        <v>8</v>
      </c>
      <c r="AM54" s="915">
        <f t="shared" si="10"/>
        <v>14</v>
      </c>
      <c r="AN54" s="399">
        <v>7067648</v>
      </c>
    </row>
    <row r="55" spans="1:40" ht="81">
      <c r="A55" s="38">
        <v>46</v>
      </c>
      <c r="B55" s="258" t="s">
        <v>2759</v>
      </c>
      <c r="C55" s="258" t="s">
        <v>126</v>
      </c>
      <c r="D55" s="260">
        <v>46</v>
      </c>
      <c r="E55" s="351" t="s">
        <v>17</v>
      </c>
      <c r="F55" s="258" t="s">
        <v>2759</v>
      </c>
      <c r="G55" s="258" t="s">
        <v>126</v>
      </c>
      <c r="H55" s="419">
        <v>24</v>
      </c>
      <c r="I55" s="1102"/>
      <c r="J55" s="346"/>
      <c r="K55" s="346">
        <v>14</v>
      </c>
      <c r="L55" s="346">
        <v>10</v>
      </c>
      <c r="M55" s="260"/>
      <c r="N55" s="261">
        <f t="shared" si="40"/>
        <v>5</v>
      </c>
      <c r="O55" s="262"/>
      <c r="P55" s="262">
        <v>3</v>
      </c>
      <c r="Q55" s="262">
        <v>2</v>
      </c>
      <c r="R55" s="261">
        <f t="shared" si="41"/>
        <v>4</v>
      </c>
      <c r="S55" s="262">
        <v>2</v>
      </c>
      <c r="T55" s="262">
        <v>2</v>
      </c>
      <c r="U55" s="261">
        <f t="shared" si="42"/>
        <v>7</v>
      </c>
      <c r="V55" s="262">
        <v>2</v>
      </c>
      <c r="W55" s="262">
        <v>3</v>
      </c>
      <c r="X55" s="262">
        <v>2</v>
      </c>
      <c r="Y55" s="261">
        <f t="shared" si="43"/>
        <v>14</v>
      </c>
      <c r="Z55" s="262">
        <v>7</v>
      </c>
      <c r="AA55" s="262">
        <v>7</v>
      </c>
      <c r="AB55" s="261">
        <v>4</v>
      </c>
      <c r="AC55" s="263"/>
      <c r="AD55" s="264">
        <v>68236</v>
      </c>
      <c r="AE55" s="265">
        <f t="shared" si="17"/>
        <v>1637664</v>
      </c>
      <c r="AF55" s="266">
        <f t="shared" si="18"/>
        <v>0</v>
      </c>
      <c r="AG55" s="267">
        <f t="shared" si="19"/>
        <v>955304</v>
      </c>
      <c r="AH55" s="268">
        <f t="shared" si="20"/>
        <v>682360</v>
      </c>
      <c r="AI55" s="269">
        <f t="shared" si="12"/>
        <v>0</v>
      </c>
      <c r="AJ55" s="827" t="s">
        <v>4228</v>
      </c>
      <c r="AK55" s="916" t="s">
        <v>4738</v>
      </c>
      <c r="AL55" s="916">
        <v>14</v>
      </c>
      <c r="AM55" s="915">
        <f t="shared" si="10"/>
        <v>10</v>
      </c>
      <c r="AN55" s="399">
        <v>4202800</v>
      </c>
    </row>
    <row r="56" spans="1:40" ht="81">
      <c r="A56" s="38">
        <v>47</v>
      </c>
      <c r="B56" s="258" t="s">
        <v>2760</v>
      </c>
      <c r="C56" s="258" t="s">
        <v>126</v>
      </c>
      <c r="D56" s="260">
        <v>47</v>
      </c>
      <c r="E56" s="351" t="s">
        <v>17</v>
      </c>
      <c r="F56" s="258" t="s">
        <v>2760</v>
      </c>
      <c r="G56" s="258" t="s">
        <v>126</v>
      </c>
      <c r="H56" s="419">
        <v>24</v>
      </c>
      <c r="I56" s="1103"/>
      <c r="J56" s="346"/>
      <c r="K56" s="346">
        <v>14</v>
      </c>
      <c r="L56" s="346">
        <v>10</v>
      </c>
      <c r="M56" s="260"/>
      <c r="N56" s="261">
        <f t="shared" si="40"/>
        <v>6</v>
      </c>
      <c r="O56" s="262">
        <v>2</v>
      </c>
      <c r="P56" s="262">
        <v>2</v>
      </c>
      <c r="Q56" s="262">
        <v>2</v>
      </c>
      <c r="R56" s="261">
        <f t="shared" si="41"/>
        <v>4</v>
      </c>
      <c r="S56" s="262">
        <v>2</v>
      </c>
      <c r="T56" s="262">
        <v>2</v>
      </c>
      <c r="U56" s="261">
        <f t="shared" si="42"/>
        <v>6</v>
      </c>
      <c r="V56" s="262">
        <v>2</v>
      </c>
      <c r="W56" s="262">
        <v>2</v>
      </c>
      <c r="X56" s="262">
        <v>2</v>
      </c>
      <c r="Y56" s="261">
        <f t="shared" si="43"/>
        <v>4</v>
      </c>
      <c r="Z56" s="262">
        <v>2</v>
      </c>
      <c r="AA56" s="262">
        <v>2</v>
      </c>
      <c r="AB56" s="261">
        <v>20</v>
      </c>
      <c r="AC56" s="263"/>
      <c r="AD56" s="264">
        <v>860959</v>
      </c>
      <c r="AE56" s="265">
        <f t="shared" si="17"/>
        <v>20663016</v>
      </c>
      <c r="AF56" s="266">
        <f t="shared" si="18"/>
        <v>0</v>
      </c>
      <c r="AG56" s="267">
        <f t="shared" si="19"/>
        <v>12053426</v>
      </c>
      <c r="AH56" s="268">
        <f t="shared" si="20"/>
        <v>8609590</v>
      </c>
      <c r="AI56" s="269">
        <f t="shared" si="12"/>
        <v>0</v>
      </c>
      <c r="AJ56" s="827" t="s">
        <v>4228</v>
      </c>
      <c r="AK56" s="919" t="s">
        <v>4821</v>
      </c>
      <c r="AL56" s="916">
        <v>14</v>
      </c>
      <c r="AM56" s="915">
        <f t="shared" si="10"/>
        <v>10</v>
      </c>
      <c r="AN56" s="399">
        <v>16935128</v>
      </c>
    </row>
    <row r="57" spans="1:40" ht="162">
      <c r="A57" s="38">
        <v>48</v>
      </c>
      <c r="B57" s="284" t="s">
        <v>169</v>
      </c>
      <c r="C57" s="258" t="s">
        <v>126</v>
      </c>
      <c r="D57" s="260">
        <v>48</v>
      </c>
      <c r="E57" s="357" t="s">
        <v>168</v>
      </c>
      <c r="F57" s="284" t="s">
        <v>169</v>
      </c>
      <c r="G57" s="258" t="s">
        <v>126</v>
      </c>
      <c r="H57" s="259">
        <f>N57+R57+U57+Y57+AB57+AC57</f>
        <v>5</v>
      </c>
      <c r="I57" s="284" t="s">
        <v>234</v>
      </c>
      <c r="J57" s="346"/>
      <c r="K57" s="346">
        <v>5</v>
      </c>
      <c r="L57" s="346"/>
      <c r="M57" s="260"/>
      <c r="N57" s="261">
        <f t="shared" si="40"/>
        <v>0</v>
      </c>
      <c r="O57" s="291"/>
      <c r="P57" s="291"/>
      <c r="Q57" s="291"/>
      <c r="R57" s="261">
        <f t="shared" si="41"/>
        <v>0</v>
      </c>
      <c r="S57" s="291"/>
      <c r="T57" s="291"/>
      <c r="U57" s="261">
        <f t="shared" si="42"/>
        <v>0</v>
      </c>
      <c r="V57" s="291"/>
      <c r="W57" s="291"/>
      <c r="X57" s="291"/>
      <c r="Y57" s="261">
        <f t="shared" si="43"/>
        <v>5</v>
      </c>
      <c r="Z57" s="291">
        <v>5</v>
      </c>
      <c r="AA57" s="291"/>
      <c r="AB57" s="292"/>
      <c r="AC57" s="293"/>
      <c r="AD57" s="264">
        <v>7500000</v>
      </c>
      <c r="AE57" s="265">
        <f t="shared" si="17"/>
        <v>37500000</v>
      </c>
      <c r="AF57" s="266">
        <f t="shared" si="18"/>
        <v>0</v>
      </c>
      <c r="AG57" s="267">
        <f t="shared" si="19"/>
        <v>37500000</v>
      </c>
      <c r="AH57" s="268">
        <f t="shared" si="20"/>
        <v>0</v>
      </c>
      <c r="AI57" s="269">
        <f t="shared" si="12"/>
        <v>0</v>
      </c>
      <c r="AJ57" s="827" t="s">
        <v>4228</v>
      </c>
      <c r="AK57" s="916"/>
      <c r="AL57" s="916"/>
      <c r="AM57" s="915">
        <f t="shared" si="10"/>
        <v>5</v>
      </c>
      <c r="AN57" s="399"/>
    </row>
    <row r="58" spans="1:40" s="5" customFormat="1" ht="121.5">
      <c r="A58" s="895"/>
      <c r="B58" s="248" t="s">
        <v>44</v>
      </c>
      <c r="C58" s="248" t="s">
        <v>126</v>
      </c>
      <c r="D58" s="250">
        <v>7</v>
      </c>
      <c r="E58" s="352" t="s">
        <v>43</v>
      </c>
      <c r="F58" s="248" t="s">
        <v>44</v>
      </c>
      <c r="G58" s="248" t="s">
        <v>126</v>
      </c>
      <c r="H58" s="248">
        <f>H59+H60+H61+H62</f>
        <v>34</v>
      </c>
      <c r="I58" s="249"/>
      <c r="J58" s="250">
        <f>J59+J60+J61+J62</f>
        <v>12</v>
      </c>
      <c r="K58" s="250">
        <f t="shared" ref="K58:AC58" si="44">K59+K60+K61+K62</f>
        <v>11</v>
      </c>
      <c r="L58" s="250">
        <f t="shared" si="44"/>
        <v>11</v>
      </c>
      <c r="M58" s="250">
        <f t="shared" si="44"/>
        <v>0</v>
      </c>
      <c r="N58" s="251">
        <f t="shared" si="44"/>
        <v>5</v>
      </c>
      <c r="O58" s="251">
        <f t="shared" si="44"/>
        <v>2</v>
      </c>
      <c r="P58" s="251">
        <f t="shared" si="44"/>
        <v>1</v>
      </c>
      <c r="Q58" s="251">
        <f t="shared" si="44"/>
        <v>2</v>
      </c>
      <c r="R58" s="251">
        <f t="shared" si="44"/>
        <v>6</v>
      </c>
      <c r="S58" s="251">
        <f t="shared" si="44"/>
        <v>4</v>
      </c>
      <c r="T58" s="251">
        <f t="shared" si="44"/>
        <v>2</v>
      </c>
      <c r="U58" s="251">
        <f t="shared" si="44"/>
        <v>15</v>
      </c>
      <c r="V58" s="251">
        <f t="shared" si="44"/>
        <v>2</v>
      </c>
      <c r="W58" s="251">
        <f t="shared" si="44"/>
        <v>2</v>
      </c>
      <c r="X58" s="251">
        <f t="shared" si="44"/>
        <v>11</v>
      </c>
      <c r="Y58" s="251">
        <f t="shared" si="44"/>
        <v>7</v>
      </c>
      <c r="Z58" s="251">
        <f t="shared" si="44"/>
        <v>6</v>
      </c>
      <c r="AA58" s="251">
        <f t="shared" si="44"/>
        <v>1</v>
      </c>
      <c r="AB58" s="251">
        <f t="shared" si="44"/>
        <v>3</v>
      </c>
      <c r="AC58" s="252">
        <f t="shared" si="44"/>
        <v>0</v>
      </c>
      <c r="AD58" s="253"/>
      <c r="AE58" s="254">
        <f>SUM(AE59:AE62)</f>
        <v>325026040</v>
      </c>
      <c r="AF58" s="255">
        <f>SUM(AF59:AF62)</f>
        <v>109661280</v>
      </c>
      <c r="AG58" s="256">
        <f>SUM(AG59:AG62)</f>
        <v>107682380</v>
      </c>
      <c r="AH58" s="255">
        <f>SUM(AH59:AH62)</f>
        <v>107682380</v>
      </c>
      <c r="AI58" s="274">
        <f t="shared" si="12"/>
        <v>0</v>
      </c>
      <c r="AJ58" s="827"/>
      <c r="AK58" s="916"/>
      <c r="AL58" s="916"/>
      <c r="AM58" s="915">
        <f t="shared" si="10"/>
        <v>34</v>
      </c>
      <c r="AN58" s="399"/>
    </row>
    <row r="59" spans="1:40" ht="141.75">
      <c r="A59" s="38">
        <v>49</v>
      </c>
      <c r="B59" s="258" t="s">
        <v>2761</v>
      </c>
      <c r="C59" s="258" t="s">
        <v>126</v>
      </c>
      <c r="D59" s="260">
        <v>49</v>
      </c>
      <c r="E59" s="351" t="s">
        <v>45</v>
      </c>
      <c r="F59" s="258" t="s">
        <v>2761</v>
      </c>
      <c r="G59" s="258" t="s">
        <v>126</v>
      </c>
      <c r="H59" s="258">
        <f>N59+R59+U59+Y59+AB59+AC59</f>
        <v>6</v>
      </c>
      <c r="I59" s="1101" t="s">
        <v>235</v>
      </c>
      <c r="J59" s="346">
        <v>2</v>
      </c>
      <c r="K59" s="346">
        <v>2</v>
      </c>
      <c r="L59" s="346">
        <v>2</v>
      </c>
      <c r="M59" s="260"/>
      <c r="N59" s="261">
        <f>O59+P59+Q59</f>
        <v>0</v>
      </c>
      <c r="O59" s="262">
        <v>0</v>
      </c>
      <c r="P59" s="262">
        <v>0</v>
      </c>
      <c r="Q59" s="262">
        <v>0</v>
      </c>
      <c r="R59" s="261">
        <f>S59+T59</f>
        <v>0</v>
      </c>
      <c r="S59" s="262"/>
      <c r="T59" s="262"/>
      <c r="U59" s="261">
        <f>V59+W59+X59</f>
        <v>4</v>
      </c>
      <c r="V59" s="262"/>
      <c r="W59" s="262"/>
      <c r="X59" s="262">
        <v>4</v>
      </c>
      <c r="Y59" s="261">
        <f>Z59+AA59</f>
        <v>2</v>
      </c>
      <c r="Z59" s="262">
        <v>2</v>
      </c>
      <c r="AA59" s="262"/>
      <c r="AB59" s="261"/>
      <c r="AC59" s="263"/>
      <c r="AD59" s="264">
        <v>8349000</v>
      </c>
      <c r="AE59" s="265">
        <f t="shared" si="17"/>
        <v>50094000</v>
      </c>
      <c r="AF59" s="266">
        <f t="shared" si="18"/>
        <v>16698000</v>
      </c>
      <c r="AG59" s="267">
        <f t="shared" si="19"/>
        <v>16698000</v>
      </c>
      <c r="AH59" s="268">
        <f t="shared" si="20"/>
        <v>16698000</v>
      </c>
      <c r="AI59" s="269">
        <f t="shared" si="12"/>
        <v>0</v>
      </c>
      <c r="AJ59" s="827" t="s">
        <v>4228</v>
      </c>
      <c r="AK59" s="916"/>
      <c r="AL59" s="916"/>
      <c r="AM59" s="915">
        <f t="shared" si="10"/>
        <v>6</v>
      </c>
      <c r="AN59" s="399"/>
    </row>
    <row r="60" spans="1:40" ht="141.75">
      <c r="A60" s="38">
        <v>50</v>
      </c>
      <c r="B60" s="258" t="s">
        <v>2762</v>
      </c>
      <c r="C60" s="258" t="s">
        <v>126</v>
      </c>
      <c r="D60" s="260">
        <v>50</v>
      </c>
      <c r="E60" s="351" t="s">
        <v>45</v>
      </c>
      <c r="F60" s="258" t="s">
        <v>2762</v>
      </c>
      <c r="G60" s="258" t="s">
        <v>126</v>
      </c>
      <c r="H60" s="258">
        <f>N60+R60+U60+Y60+AB60+AC60</f>
        <v>6</v>
      </c>
      <c r="I60" s="1103"/>
      <c r="J60" s="346">
        <v>2</v>
      </c>
      <c r="K60" s="346">
        <v>2</v>
      </c>
      <c r="L60" s="346">
        <v>2</v>
      </c>
      <c r="M60" s="260"/>
      <c r="N60" s="261">
        <f>O60+P60+Q60</f>
        <v>0</v>
      </c>
      <c r="O60" s="262">
        <v>0</v>
      </c>
      <c r="P60" s="262">
        <v>0</v>
      </c>
      <c r="Q60" s="262">
        <v>0</v>
      </c>
      <c r="R60" s="261">
        <f>S60+T60</f>
        <v>0</v>
      </c>
      <c r="S60" s="262"/>
      <c r="T60" s="262"/>
      <c r="U60" s="261">
        <f>V60+W60+X60</f>
        <v>4</v>
      </c>
      <c r="V60" s="262"/>
      <c r="W60" s="262"/>
      <c r="X60" s="262">
        <v>4</v>
      </c>
      <c r="Y60" s="261">
        <f>Z60+AA60</f>
        <v>2</v>
      </c>
      <c r="Z60" s="262">
        <v>2</v>
      </c>
      <c r="AA60" s="262"/>
      <c r="AB60" s="261"/>
      <c r="AC60" s="263"/>
      <c r="AD60" s="264">
        <v>10246760</v>
      </c>
      <c r="AE60" s="265">
        <f t="shared" si="17"/>
        <v>61480560</v>
      </c>
      <c r="AF60" s="266">
        <f t="shared" si="18"/>
        <v>20493520</v>
      </c>
      <c r="AG60" s="267">
        <f t="shared" si="19"/>
        <v>20493520</v>
      </c>
      <c r="AH60" s="268">
        <f t="shared" si="20"/>
        <v>20493520</v>
      </c>
      <c r="AI60" s="269">
        <f t="shared" si="12"/>
        <v>0</v>
      </c>
      <c r="AJ60" s="827" t="s">
        <v>4228</v>
      </c>
      <c r="AK60" s="916"/>
      <c r="AL60" s="916"/>
      <c r="AM60" s="915">
        <f t="shared" si="10"/>
        <v>6</v>
      </c>
      <c r="AN60" s="399"/>
    </row>
    <row r="61" spans="1:40" ht="222.75">
      <c r="A61" s="38">
        <v>51</v>
      </c>
      <c r="B61" s="258" t="s">
        <v>2763</v>
      </c>
      <c r="C61" s="258" t="s">
        <v>126</v>
      </c>
      <c r="D61" s="260">
        <v>51</v>
      </c>
      <c r="E61" s="351" t="s">
        <v>46</v>
      </c>
      <c r="F61" s="258" t="s">
        <v>2763</v>
      </c>
      <c r="G61" s="258" t="s">
        <v>126</v>
      </c>
      <c r="H61" s="258">
        <v>6</v>
      </c>
      <c r="I61" s="258" t="s">
        <v>162</v>
      </c>
      <c r="J61" s="346">
        <v>2</v>
      </c>
      <c r="K61" s="346">
        <v>2</v>
      </c>
      <c r="L61" s="346">
        <v>2</v>
      </c>
      <c r="M61" s="260"/>
      <c r="N61" s="261">
        <f>O61+P61+Q61</f>
        <v>0</v>
      </c>
      <c r="O61" s="262">
        <v>0</v>
      </c>
      <c r="P61" s="262">
        <v>0</v>
      </c>
      <c r="Q61" s="262">
        <v>0</v>
      </c>
      <c r="R61" s="261">
        <f>S61+T61</f>
        <v>3</v>
      </c>
      <c r="S61" s="262">
        <v>2</v>
      </c>
      <c r="T61" s="262">
        <v>1</v>
      </c>
      <c r="U61" s="261">
        <f>V61+W61+X61</f>
        <v>2</v>
      </c>
      <c r="V61" s="262"/>
      <c r="W61" s="262"/>
      <c r="X61" s="262">
        <v>2</v>
      </c>
      <c r="Y61" s="261">
        <f>Z61+AA61</f>
        <v>1</v>
      </c>
      <c r="Z61" s="262">
        <v>1</v>
      </c>
      <c r="AA61" s="262"/>
      <c r="AB61" s="261">
        <v>2</v>
      </c>
      <c r="AC61" s="263"/>
      <c r="AD61" s="264">
        <v>30298180</v>
      </c>
      <c r="AE61" s="265">
        <f t="shared" si="17"/>
        <v>181789080</v>
      </c>
      <c r="AF61" s="266">
        <f t="shared" si="18"/>
        <v>60596360</v>
      </c>
      <c r="AG61" s="267">
        <f t="shared" si="19"/>
        <v>60596360</v>
      </c>
      <c r="AH61" s="268">
        <f t="shared" si="20"/>
        <v>60596360</v>
      </c>
      <c r="AI61" s="269">
        <f t="shared" si="12"/>
        <v>0</v>
      </c>
      <c r="AJ61" s="827" t="s">
        <v>4228</v>
      </c>
      <c r="AK61" s="916"/>
      <c r="AL61" s="916"/>
      <c r="AM61" s="915">
        <f t="shared" si="10"/>
        <v>6</v>
      </c>
      <c r="AN61" s="399"/>
    </row>
    <row r="62" spans="1:40" ht="202.5">
      <c r="A62" s="38">
        <v>52</v>
      </c>
      <c r="B62" s="258" t="s">
        <v>47</v>
      </c>
      <c r="C62" s="258" t="s">
        <v>126</v>
      </c>
      <c r="D62" s="260">
        <v>52</v>
      </c>
      <c r="E62" s="351" t="s">
        <v>184</v>
      </c>
      <c r="F62" s="258" t="s">
        <v>47</v>
      </c>
      <c r="G62" s="258" t="s">
        <v>126</v>
      </c>
      <c r="H62" s="258">
        <f>N62+R62+U62+Y62+AB62+AC62</f>
        <v>16</v>
      </c>
      <c r="I62" s="258" t="s">
        <v>214</v>
      </c>
      <c r="J62" s="346">
        <v>6</v>
      </c>
      <c r="K62" s="346">
        <v>5</v>
      </c>
      <c r="L62" s="346">
        <v>5</v>
      </c>
      <c r="M62" s="260"/>
      <c r="N62" s="261">
        <f>O62+P62+Q62</f>
        <v>5</v>
      </c>
      <c r="O62" s="262">
        <v>2</v>
      </c>
      <c r="P62" s="262">
        <v>1</v>
      </c>
      <c r="Q62" s="262">
        <v>2</v>
      </c>
      <c r="R62" s="261">
        <f>S62+T62</f>
        <v>3</v>
      </c>
      <c r="S62" s="262">
        <v>2</v>
      </c>
      <c r="T62" s="262">
        <v>1</v>
      </c>
      <c r="U62" s="261">
        <f>V62+W62+X62</f>
        <v>5</v>
      </c>
      <c r="V62" s="262">
        <v>2</v>
      </c>
      <c r="W62" s="262">
        <v>2</v>
      </c>
      <c r="X62" s="262">
        <v>1</v>
      </c>
      <c r="Y62" s="261">
        <f>Z62+AA62</f>
        <v>2</v>
      </c>
      <c r="Z62" s="262">
        <v>1</v>
      </c>
      <c r="AA62" s="262">
        <v>1</v>
      </c>
      <c r="AB62" s="261">
        <v>1</v>
      </c>
      <c r="AC62" s="263"/>
      <c r="AD62" s="264">
        <v>1978900</v>
      </c>
      <c r="AE62" s="265">
        <f t="shared" si="17"/>
        <v>31662400</v>
      </c>
      <c r="AF62" s="266">
        <f t="shared" si="18"/>
        <v>11873400</v>
      </c>
      <c r="AG62" s="267">
        <f t="shared" si="19"/>
        <v>9894500</v>
      </c>
      <c r="AH62" s="268">
        <f t="shared" si="20"/>
        <v>9894500</v>
      </c>
      <c r="AI62" s="269">
        <f t="shared" si="12"/>
        <v>0</v>
      </c>
      <c r="AJ62" s="827" t="s">
        <v>4228</v>
      </c>
      <c r="AK62" s="919" t="s">
        <v>4821</v>
      </c>
      <c r="AL62" s="916">
        <v>6</v>
      </c>
      <c r="AM62" s="915">
        <f>H62-AL62</f>
        <v>10</v>
      </c>
      <c r="AN62" s="399">
        <v>9275472</v>
      </c>
    </row>
    <row r="63" spans="1:40" s="5" customFormat="1" ht="101.25">
      <c r="A63" s="895"/>
      <c r="B63" s="248" t="s">
        <v>49</v>
      </c>
      <c r="C63" s="248" t="s">
        <v>126</v>
      </c>
      <c r="D63" s="250">
        <v>8</v>
      </c>
      <c r="E63" s="352" t="s">
        <v>48</v>
      </c>
      <c r="F63" s="248" t="s">
        <v>49</v>
      </c>
      <c r="G63" s="248" t="s">
        <v>126</v>
      </c>
      <c r="H63" s="248">
        <f>N63+R63+U63+Y63+AB63+AC63</f>
        <v>55</v>
      </c>
      <c r="I63" s="249"/>
      <c r="J63" s="250">
        <f>J64+J65+J66+J67+J68</f>
        <v>13</v>
      </c>
      <c r="K63" s="250">
        <f t="shared" ref="K63:AC63" si="45">K64+K65+K66+K67+K68</f>
        <v>22</v>
      </c>
      <c r="L63" s="250">
        <f t="shared" si="45"/>
        <v>14</v>
      </c>
      <c r="M63" s="250">
        <f t="shared" si="45"/>
        <v>0</v>
      </c>
      <c r="N63" s="251">
        <f t="shared" si="45"/>
        <v>18</v>
      </c>
      <c r="O63" s="251">
        <f t="shared" si="45"/>
        <v>6</v>
      </c>
      <c r="P63" s="251">
        <f t="shared" si="45"/>
        <v>6</v>
      </c>
      <c r="Q63" s="251">
        <f t="shared" si="45"/>
        <v>6</v>
      </c>
      <c r="R63" s="251">
        <f t="shared" si="45"/>
        <v>2</v>
      </c>
      <c r="S63" s="251">
        <f t="shared" si="45"/>
        <v>1</v>
      </c>
      <c r="T63" s="251">
        <f t="shared" si="45"/>
        <v>1</v>
      </c>
      <c r="U63" s="251">
        <f t="shared" si="45"/>
        <v>17</v>
      </c>
      <c r="V63" s="251">
        <f t="shared" si="45"/>
        <v>6</v>
      </c>
      <c r="W63" s="251">
        <f t="shared" si="45"/>
        <v>6</v>
      </c>
      <c r="X63" s="251">
        <f t="shared" si="45"/>
        <v>5</v>
      </c>
      <c r="Y63" s="251">
        <f t="shared" si="45"/>
        <v>11</v>
      </c>
      <c r="Z63" s="251">
        <f t="shared" si="45"/>
        <v>6</v>
      </c>
      <c r="AA63" s="251">
        <f t="shared" si="45"/>
        <v>5</v>
      </c>
      <c r="AB63" s="251">
        <f t="shared" si="45"/>
        <v>7</v>
      </c>
      <c r="AC63" s="252">
        <f t="shared" si="45"/>
        <v>0</v>
      </c>
      <c r="AD63" s="253"/>
      <c r="AE63" s="254">
        <f>SUM(AE64:AE67)</f>
        <v>65160816</v>
      </c>
      <c r="AF63" s="255">
        <f>SUM(AF64:AF67)</f>
        <v>11492640</v>
      </c>
      <c r="AG63" s="256">
        <f>SUM(AG64:AG67)</f>
        <v>41088108</v>
      </c>
      <c r="AH63" s="255">
        <f>SUM(AH64:AH67)</f>
        <v>12580068</v>
      </c>
      <c r="AI63" s="274">
        <f t="shared" si="12"/>
        <v>0</v>
      </c>
      <c r="AJ63" s="828"/>
      <c r="AK63" s="916"/>
      <c r="AL63" s="916"/>
      <c r="AM63" s="915">
        <f t="shared" si="10"/>
        <v>55</v>
      </c>
      <c r="AN63" s="399"/>
    </row>
    <row r="64" spans="1:40" ht="222.75">
      <c r="A64" s="38">
        <v>53</v>
      </c>
      <c r="B64" s="258" t="s">
        <v>2764</v>
      </c>
      <c r="C64" s="258" t="s">
        <v>126</v>
      </c>
      <c r="D64" s="260">
        <v>53</v>
      </c>
      <c r="E64" s="351" t="s">
        <v>173</v>
      </c>
      <c r="F64" s="258" t="s">
        <v>2764</v>
      </c>
      <c r="G64" s="258" t="s">
        <v>126</v>
      </c>
      <c r="H64" s="258">
        <v>5</v>
      </c>
      <c r="I64" s="258" t="s">
        <v>236</v>
      </c>
      <c r="J64" s="346"/>
      <c r="K64" s="346">
        <v>5</v>
      </c>
      <c r="L64" s="346"/>
      <c r="M64" s="260"/>
      <c r="N64" s="261">
        <f>O64+P64+Q64</f>
        <v>3</v>
      </c>
      <c r="O64" s="262">
        <v>1</v>
      </c>
      <c r="P64" s="262">
        <v>1</v>
      </c>
      <c r="Q64" s="262">
        <v>1</v>
      </c>
      <c r="R64" s="261">
        <f>S64+T64</f>
        <v>2</v>
      </c>
      <c r="S64" s="262">
        <v>1</v>
      </c>
      <c r="T64" s="262">
        <v>1</v>
      </c>
      <c r="U64" s="261">
        <f>V64+W64+X64</f>
        <v>3</v>
      </c>
      <c r="V64" s="262">
        <v>1</v>
      </c>
      <c r="W64" s="262">
        <v>1</v>
      </c>
      <c r="X64" s="262">
        <v>1</v>
      </c>
      <c r="Y64" s="261">
        <f>Z64+AA64</f>
        <v>2</v>
      </c>
      <c r="Z64" s="262">
        <v>1</v>
      </c>
      <c r="AA64" s="262">
        <v>1</v>
      </c>
      <c r="AB64" s="261">
        <v>1</v>
      </c>
      <c r="AC64" s="263"/>
      <c r="AD64" s="264">
        <v>5186500</v>
      </c>
      <c r="AE64" s="265">
        <f t="shared" si="17"/>
        <v>25932500</v>
      </c>
      <c r="AF64" s="266">
        <f t="shared" si="18"/>
        <v>0</v>
      </c>
      <c r="AG64" s="267">
        <f t="shared" si="19"/>
        <v>25932500</v>
      </c>
      <c r="AH64" s="268">
        <f t="shared" si="20"/>
        <v>0</v>
      </c>
      <c r="AI64" s="269">
        <f t="shared" si="12"/>
        <v>0</v>
      </c>
      <c r="AJ64" s="827" t="s">
        <v>4228</v>
      </c>
      <c r="AK64" s="916"/>
      <c r="AL64" s="916"/>
      <c r="AM64" s="915">
        <f t="shared" si="10"/>
        <v>5</v>
      </c>
      <c r="AN64" s="399"/>
    </row>
    <row r="65" spans="1:40" ht="202.5">
      <c r="A65" s="38">
        <v>54</v>
      </c>
      <c r="B65" s="258" t="s">
        <v>2765</v>
      </c>
      <c r="C65" s="258" t="s">
        <v>126</v>
      </c>
      <c r="D65" s="260">
        <v>54</v>
      </c>
      <c r="E65" s="351" t="s">
        <v>50</v>
      </c>
      <c r="F65" s="258" t="s">
        <v>2765</v>
      </c>
      <c r="G65" s="258" t="s">
        <v>126</v>
      </c>
      <c r="H65" s="258">
        <f>N65+R65+U65+Y65+AB65+AC65</f>
        <v>16</v>
      </c>
      <c r="I65" s="258" t="s">
        <v>237</v>
      </c>
      <c r="J65" s="346">
        <v>5</v>
      </c>
      <c r="K65" s="346">
        <v>6</v>
      </c>
      <c r="L65" s="346">
        <v>5</v>
      </c>
      <c r="M65" s="260"/>
      <c r="N65" s="261">
        <f>O65+P65+Q65</f>
        <v>6</v>
      </c>
      <c r="O65" s="262">
        <v>2</v>
      </c>
      <c r="P65" s="262">
        <v>2</v>
      </c>
      <c r="Q65" s="262">
        <v>2</v>
      </c>
      <c r="R65" s="261">
        <f>S65+T65</f>
        <v>0</v>
      </c>
      <c r="S65" s="262"/>
      <c r="T65" s="262"/>
      <c r="U65" s="261">
        <f>V65+W65+X65</f>
        <v>6</v>
      </c>
      <c r="V65" s="262">
        <v>2</v>
      </c>
      <c r="W65" s="262">
        <v>2</v>
      </c>
      <c r="X65" s="262">
        <v>2</v>
      </c>
      <c r="Y65" s="261">
        <f>Z65+AA65</f>
        <v>2</v>
      </c>
      <c r="Z65" s="262">
        <v>1</v>
      </c>
      <c r="AA65" s="262">
        <v>1</v>
      </c>
      <c r="AB65" s="261">
        <v>2</v>
      </c>
      <c r="AC65" s="263"/>
      <c r="AD65" s="264">
        <v>626340</v>
      </c>
      <c r="AE65" s="265">
        <f t="shared" si="17"/>
        <v>10021440</v>
      </c>
      <c r="AF65" s="266">
        <f t="shared" si="18"/>
        <v>3131700</v>
      </c>
      <c r="AG65" s="267">
        <f t="shared" si="19"/>
        <v>3758040</v>
      </c>
      <c r="AH65" s="268">
        <f t="shared" si="20"/>
        <v>3131700</v>
      </c>
      <c r="AI65" s="269">
        <f t="shared" si="12"/>
        <v>0</v>
      </c>
      <c r="AJ65" s="827" t="s">
        <v>4228</v>
      </c>
      <c r="AK65" s="916" t="s">
        <v>4823</v>
      </c>
      <c r="AL65" s="916">
        <v>10</v>
      </c>
      <c r="AM65" s="915">
        <f t="shared" si="10"/>
        <v>6</v>
      </c>
      <c r="AN65" s="399">
        <v>5000000</v>
      </c>
    </row>
    <row r="66" spans="1:40" ht="202.5">
      <c r="A66" s="38">
        <v>55</v>
      </c>
      <c r="B66" s="258" t="s">
        <v>52</v>
      </c>
      <c r="C66" s="258" t="s">
        <v>126</v>
      </c>
      <c r="D66" s="260">
        <v>55</v>
      </c>
      <c r="E66" s="351" t="s">
        <v>51</v>
      </c>
      <c r="F66" s="258" t="s">
        <v>52</v>
      </c>
      <c r="G66" s="258" t="s">
        <v>126</v>
      </c>
      <c r="H66" s="258">
        <f>N66+R66+U66+Y66+AB66+AC66</f>
        <v>17</v>
      </c>
      <c r="I66" s="258" t="s">
        <v>238</v>
      </c>
      <c r="J66" s="346">
        <v>5</v>
      </c>
      <c r="K66" s="346">
        <v>6</v>
      </c>
      <c r="L66" s="346">
        <v>6</v>
      </c>
      <c r="M66" s="260"/>
      <c r="N66" s="261">
        <f>O66+P66+Q66</f>
        <v>6</v>
      </c>
      <c r="O66" s="262">
        <v>2</v>
      </c>
      <c r="P66" s="262">
        <v>2</v>
      </c>
      <c r="Q66" s="262">
        <v>2</v>
      </c>
      <c r="R66" s="261">
        <f>S66+T66</f>
        <v>0</v>
      </c>
      <c r="S66" s="262"/>
      <c r="T66" s="262"/>
      <c r="U66" s="261">
        <f>V66+W66+X66</f>
        <v>6</v>
      </c>
      <c r="V66" s="262">
        <v>2</v>
      </c>
      <c r="W66" s="262">
        <v>2</v>
      </c>
      <c r="X66" s="262">
        <v>2</v>
      </c>
      <c r="Y66" s="261">
        <f>Z66+AA66</f>
        <v>3</v>
      </c>
      <c r="Z66" s="262">
        <v>2</v>
      </c>
      <c r="AA66" s="262">
        <v>1</v>
      </c>
      <c r="AB66" s="261">
        <v>2</v>
      </c>
      <c r="AC66" s="263"/>
      <c r="AD66" s="264">
        <v>1087428</v>
      </c>
      <c r="AE66" s="265">
        <f t="shared" si="17"/>
        <v>18486276</v>
      </c>
      <c r="AF66" s="266">
        <f t="shared" si="18"/>
        <v>5437140</v>
      </c>
      <c r="AG66" s="267">
        <f t="shared" si="19"/>
        <v>6524568</v>
      </c>
      <c r="AH66" s="268">
        <f t="shared" si="20"/>
        <v>6524568</v>
      </c>
      <c r="AI66" s="269">
        <f t="shared" si="12"/>
        <v>0</v>
      </c>
      <c r="AJ66" s="827" t="s">
        <v>4228</v>
      </c>
      <c r="AK66" s="916" t="s">
        <v>4823</v>
      </c>
      <c r="AL66" s="916">
        <v>10</v>
      </c>
      <c r="AM66" s="915">
        <f t="shared" si="10"/>
        <v>7</v>
      </c>
      <c r="AN66" s="399">
        <v>5750000</v>
      </c>
    </row>
    <row r="67" spans="1:40" ht="81">
      <c r="A67" s="38">
        <v>56</v>
      </c>
      <c r="B67" s="258" t="s">
        <v>54</v>
      </c>
      <c r="C67" s="258" t="s">
        <v>126</v>
      </c>
      <c r="D67" s="260">
        <v>56</v>
      </c>
      <c r="E67" s="351" t="s">
        <v>53</v>
      </c>
      <c r="F67" s="258" t="s">
        <v>54</v>
      </c>
      <c r="G67" s="258" t="s">
        <v>126</v>
      </c>
      <c r="H67" s="258">
        <v>11</v>
      </c>
      <c r="I67" s="258" t="s">
        <v>239</v>
      </c>
      <c r="J67" s="346">
        <v>3</v>
      </c>
      <c r="K67" s="346">
        <v>5</v>
      </c>
      <c r="L67" s="346">
        <v>3</v>
      </c>
      <c r="M67" s="260"/>
      <c r="N67" s="261">
        <f>O67+P67+Q67</f>
        <v>3</v>
      </c>
      <c r="O67" s="262">
        <v>1</v>
      </c>
      <c r="P67" s="262">
        <v>1</v>
      </c>
      <c r="Q67" s="262">
        <v>1</v>
      </c>
      <c r="R67" s="261">
        <f>S67+T67</f>
        <v>0</v>
      </c>
      <c r="S67" s="262"/>
      <c r="T67" s="262"/>
      <c r="U67" s="261">
        <f>V67+W67+X67</f>
        <v>2</v>
      </c>
      <c r="V67" s="262">
        <v>1</v>
      </c>
      <c r="W67" s="262">
        <v>1</v>
      </c>
      <c r="X67" s="262"/>
      <c r="Y67" s="261">
        <f>Z67+AA67</f>
        <v>4</v>
      </c>
      <c r="Z67" s="262">
        <v>2</v>
      </c>
      <c r="AA67" s="262">
        <v>2</v>
      </c>
      <c r="AB67" s="261">
        <v>2</v>
      </c>
      <c r="AC67" s="263"/>
      <c r="AD67" s="264">
        <v>974600</v>
      </c>
      <c r="AE67" s="265">
        <f t="shared" si="17"/>
        <v>10720600</v>
      </c>
      <c r="AF67" s="266">
        <f t="shared" si="18"/>
        <v>2923800</v>
      </c>
      <c r="AG67" s="267">
        <f t="shared" si="19"/>
        <v>4873000</v>
      </c>
      <c r="AH67" s="268">
        <f t="shared" si="20"/>
        <v>2923800</v>
      </c>
      <c r="AI67" s="269">
        <f t="shared" si="12"/>
        <v>0</v>
      </c>
      <c r="AJ67" s="827" t="s">
        <v>4228</v>
      </c>
      <c r="AK67" s="919" t="s">
        <v>4821</v>
      </c>
      <c r="AL67" s="916">
        <v>5</v>
      </c>
      <c r="AM67" s="915">
        <f t="shared" si="10"/>
        <v>6</v>
      </c>
      <c r="AN67" s="399">
        <v>1466080</v>
      </c>
    </row>
    <row r="68" spans="1:40" ht="222.75">
      <c r="A68" s="38">
        <v>57</v>
      </c>
      <c r="B68" s="259" t="s">
        <v>158</v>
      </c>
      <c r="C68" s="259" t="s">
        <v>126</v>
      </c>
      <c r="D68" s="260">
        <v>5</v>
      </c>
      <c r="E68" s="356" t="s">
        <v>157</v>
      </c>
      <c r="F68" s="259" t="s">
        <v>158</v>
      </c>
      <c r="G68" s="259" t="s">
        <v>126</v>
      </c>
      <c r="H68" s="258">
        <f t="shared" ref="H68:H99" si="46">N68+R68+U68+Y68+AB68+AC68</f>
        <v>0</v>
      </c>
      <c r="I68" s="294" t="s">
        <v>258</v>
      </c>
      <c r="J68" s="295"/>
      <c r="K68" s="295"/>
      <c r="L68" s="295"/>
      <c r="M68" s="295"/>
      <c r="N68" s="296"/>
      <c r="O68" s="297"/>
      <c r="P68" s="297"/>
      <c r="Q68" s="262"/>
      <c r="R68" s="261"/>
      <c r="S68" s="262"/>
      <c r="T68" s="262"/>
      <c r="U68" s="261"/>
      <c r="V68" s="262"/>
      <c r="W68" s="262"/>
      <c r="X68" s="262"/>
      <c r="Y68" s="261"/>
      <c r="Z68" s="262"/>
      <c r="AA68" s="262"/>
      <c r="AB68" s="261"/>
      <c r="AC68" s="285"/>
      <c r="AD68" s="285"/>
      <c r="AE68" s="298"/>
      <c r="AF68" s="285"/>
      <c r="AG68" s="285"/>
      <c r="AH68" s="285"/>
      <c r="AI68" s="285"/>
      <c r="AJ68" s="285"/>
      <c r="AK68" s="916"/>
      <c r="AL68" s="916"/>
      <c r="AM68" s="915">
        <f t="shared" ref="AM68:AM131" si="47">H68-AL68</f>
        <v>0</v>
      </c>
      <c r="AN68" s="399"/>
    </row>
    <row r="69" spans="1:40" s="5" customFormat="1" ht="40.5">
      <c r="A69" s="895"/>
      <c r="B69" s="299" t="s">
        <v>56</v>
      </c>
      <c r="C69" s="299" t="s">
        <v>126</v>
      </c>
      <c r="D69" s="262">
        <v>9</v>
      </c>
      <c r="E69" s="358" t="s">
        <v>55</v>
      </c>
      <c r="F69" s="299" t="s">
        <v>56</v>
      </c>
      <c r="G69" s="299" t="s">
        <v>126</v>
      </c>
      <c r="H69" s="300">
        <f t="shared" si="46"/>
        <v>75</v>
      </c>
      <c r="I69" s="301"/>
      <c r="J69" s="302">
        <f>J70+J71+J72++J73+J74+J75</f>
        <v>24</v>
      </c>
      <c r="K69" s="302">
        <f t="shared" ref="K69:AC69" si="48">K70+K71+K72++K73+K74+K75</f>
        <v>27</v>
      </c>
      <c r="L69" s="302">
        <f t="shared" si="48"/>
        <v>24</v>
      </c>
      <c r="M69" s="302">
        <f t="shared" si="48"/>
        <v>0</v>
      </c>
      <c r="N69" s="272">
        <f t="shared" si="48"/>
        <v>42</v>
      </c>
      <c r="O69" s="272">
        <f t="shared" si="48"/>
        <v>15</v>
      </c>
      <c r="P69" s="272">
        <f t="shared" si="48"/>
        <v>13</v>
      </c>
      <c r="Q69" s="272">
        <f t="shared" si="48"/>
        <v>14</v>
      </c>
      <c r="R69" s="272">
        <f t="shared" si="48"/>
        <v>6</v>
      </c>
      <c r="S69" s="272">
        <f t="shared" si="48"/>
        <v>0</v>
      </c>
      <c r="T69" s="272">
        <f t="shared" si="48"/>
        <v>6</v>
      </c>
      <c r="U69" s="272">
        <f t="shared" si="48"/>
        <v>12</v>
      </c>
      <c r="V69" s="272">
        <f t="shared" si="48"/>
        <v>1</v>
      </c>
      <c r="W69" s="272">
        <f t="shared" si="48"/>
        <v>6</v>
      </c>
      <c r="X69" s="272">
        <f t="shared" si="48"/>
        <v>5</v>
      </c>
      <c r="Y69" s="272">
        <f t="shared" si="48"/>
        <v>11</v>
      </c>
      <c r="Z69" s="272">
        <f t="shared" si="48"/>
        <v>5</v>
      </c>
      <c r="AA69" s="272">
        <f t="shared" si="48"/>
        <v>6</v>
      </c>
      <c r="AB69" s="272">
        <f t="shared" si="48"/>
        <v>4</v>
      </c>
      <c r="AC69" s="273">
        <f t="shared" si="48"/>
        <v>0</v>
      </c>
      <c r="AD69" s="253"/>
      <c r="AE69" s="254">
        <f>SUM(AE70:AE75)</f>
        <v>99255983</v>
      </c>
      <c r="AF69" s="255">
        <f>SUM(AF70:AF75)</f>
        <v>30350961</v>
      </c>
      <c r="AG69" s="256">
        <f>SUM(AG70:AG75)</f>
        <v>38554061</v>
      </c>
      <c r="AH69" s="255">
        <f>SUM(AH70:AH75)</f>
        <v>30350961</v>
      </c>
      <c r="AI69" s="274">
        <f t="shared" ref="AI69:AI99" si="49">AD69*M69</f>
        <v>0</v>
      </c>
      <c r="AJ69" s="828"/>
      <c r="AK69" s="916"/>
      <c r="AL69" s="916"/>
      <c r="AM69" s="915">
        <f t="shared" si="47"/>
        <v>75</v>
      </c>
      <c r="AN69" s="399"/>
    </row>
    <row r="70" spans="1:40" ht="141.75">
      <c r="A70" s="38">
        <v>58</v>
      </c>
      <c r="B70" s="258" t="s">
        <v>2766</v>
      </c>
      <c r="C70" s="258" t="s">
        <v>126</v>
      </c>
      <c r="D70" s="260">
        <v>57</v>
      </c>
      <c r="E70" s="351" t="s">
        <v>241</v>
      </c>
      <c r="F70" s="258" t="s">
        <v>2766</v>
      </c>
      <c r="G70" s="258" t="s">
        <v>126</v>
      </c>
      <c r="H70" s="259">
        <f t="shared" si="46"/>
        <v>18</v>
      </c>
      <c r="I70" s="258" t="s">
        <v>240</v>
      </c>
      <c r="J70" s="260">
        <v>6</v>
      </c>
      <c r="K70" s="260">
        <v>6</v>
      </c>
      <c r="L70" s="260">
        <v>6</v>
      </c>
      <c r="M70" s="260"/>
      <c r="N70" s="261">
        <f t="shared" ref="N70:N130" si="50">O70+P70+Q70</f>
        <v>6</v>
      </c>
      <c r="O70" s="262">
        <v>2</v>
      </c>
      <c r="P70" s="262">
        <v>2</v>
      </c>
      <c r="Q70" s="262">
        <v>2</v>
      </c>
      <c r="R70" s="261">
        <f t="shared" ref="R70:R130" si="51">S70+T70</f>
        <v>2</v>
      </c>
      <c r="S70" s="262"/>
      <c r="T70" s="262">
        <v>2</v>
      </c>
      <c r="U70" s="261">
        <f t="shared" ref="U70:U130" si="52">V70+W70+X70</f>
        <v>4</v>
      </c>
      <c r="V70" s="262"/>
      <c r="W70" s="262">
        <v>2</v>
      </c>
      <c r="X70" s="262">
        <v>2</v>
      </c>
      <c r="Y70" s="261">
        <f t="shared" ref="Y70:Y130" si="53">Z70+AA70</f>
        <v>4</v>
      </c>
      <c r="Z70" s="262">
        <v>2</v>
      </c>
      <c r="AA70" s="262">
        <v>2</v>
      </c>
      <c r="AB70" s="261">
        <v>2</v>
      </c>
      <c r="AC70" s="263"/>
      <c r="AD70" s="264">
        <v>286350</v>
      </c>
      <c r="AE70" s="265">
        <f t="shared" ref="AE70:AE99" si="54">AD70*H70</f>
        <v>5154300</v>
      </c>
      <c r="AF70" s="266">
        <f t="shared" ref="AF70:AF99" si="55">AD70*J70</f>
        <v>1718100</v>
      </c>
      <c r="AG70" s="267">
        <f t="shared" ref="AG70:AG99" si="56">AD70*K70</f>
        <v>1718100</v>
      </c>
      <c r="AH70" s="268">
        <f t="shared" ref="AH70:AH99" si="57">AD70*L70</f>
        <v>1718100</v>
      </c>
      <c r="AI70" s="269">
        <f t="shared" si="49"/>
        <v>0</v>
      </c>
      <c r="AJ70" s="827" t="s">
        <v>4228</v>
      </c>
      <c r="AK70" s="916"/>
      <c r="AL70" s="916"/>
      <c r="AM70" s="915">
        <f t="shared" si="47"/>
        <v>18</v>
      </c>
      <c r="AN70" s="399"/>
    </row>
    <row r="71" spans="1:40" ht="141.75">
      <c r="A71" s="38">
        <v>59</v>
      </c>
      <c r="B71" s="258" t="s">
        <v>2767</v>
      </c>
      <c r="C71" s="258" t="s">
        <v>126</v>
      </c>
      <c r="D71" s="260">
        <v>58</v>
      </c>
      <c r="E71" s="351" t="s">
        <v>242</v>
      </c>
      <c r="F71" s="258" t="s">
        <v>2767</v>
      </c>
      <c r="G71" s="258" t="s">
        <v>126</v>
      </c>
      <c r="H71" s="259">
        <f t="shared" si="46"/>
        <v>18</v>
      </c>
      <c r="I71" s="258" t="s">
        <v>240</v>
      </c>
      <c r="J71" s="260">
        <v>6</v>
      </c>
      <c r="K71" s="260">
        <v>6</v>
      </c>
      <c r="L71" s="260">
        <v>6</v>
      </c>
      <c r="M71" s="260"/>
      <c r="N71" s="261">
        <f t="shared" si="50"/>
        <v>6</v>
      </c>
      <c r="O71" s="262">
        <v>2</v>
      </c>
      <c r="P71" s="262">
        <v>2</v>
      </c>
      <c r="Q71" s="262">
        <v>2</v>
      </c>
      <c r="R71" s="261">
        <f t="shared" si="51"/>
        <v>2</v>
      </c>
      <c r="S71" s="262"/>
      <c r="T71" s="262">
        <v>2</v>
      </c>
      <c r="U71" s="261">
        <f t="shared" si="52"/>
        <v>4</v>
      </c>
      <c r="V71" s="262"/>
      <c r="W71" s="262">
        <v>2</v>
      </c>
      <c r="X71" s="262">
        <v>2</v>
      </c>
      <c r="Y71" s="261">
        <f t="shared" si="53"/>
        <v>4</v>
      </c>
      <c r="Z71" s="262">
        <v>2</v>
      </c>
      <c r="AA71" s="262">
        <v>2</v>
      </c>
      <c r="AB71" s="261">
        <v>2</v>
      </c>
      <c r="AC71" s="263"/>
      <c r="AD71" s="264">
        <v>286350</v>
      </c>
      <c r="AE71" s="265">
        <f t="shared" si="54"/>
        <v>5154300</v>
      </c>
      <c r="AF71" s="266">
        <f t="shared" si="55"/>
        <v>1718100</v>
      </c>
      <c r="AG71" s="267">
        <f t="shared" si="56"/>
        <v>1718100</v>
      </c>
      <c r="AH71" s="268">
        <f t="shared" si="57"/>
        <v>1718100</v>
      </c>
      <c r="AI71" s="269">
        <f t="shared" si="49"/>
        <v>0</v>
      </c>
      <c r="AJ71" s="827" t="s">
        <v>4228</v>
      </c>
      <c r="AK71" s="916"/>
      <c r="AL71" s="916"/>
      <c r="AM71" s="915">
        <f t="shared" si="47"/>
        <v>18</v>
      </c>
      <c r="AN71" s="399"/>
    </row>
    <row r="72" spans="1:40" s="10" customFormat="1" ht="162">
      <c r="A72" s="896">
        <v>60</v>
      </c>
      <c r="B72" s="275" t="s">
        <v>152</v>
      </c>
      <c r="C72" s="275" t="s">
        <v>126</v>
      </c>
      <c r="D72" s="260">
        <v>59</v>
      </c>
      <c r="E72" s="354" t="s">
        <v>243</v>
      </c>
      <c r="F72" s="275" t="s">
        <v>152</v>
      </c>
      <c r="G72" s="275" t="s">
        <v>126</v>
      </c>
      <c r="H72" s="259">
        <f t="shared" si="46"/>
        <v>10</v>
      </c>
      <c r="I72" s="258" t="s">
        <v>257</v>
      </c>
      <c r="J72" s="276">
        <v>3</v>
      </c>
      <c r="K72" s="276">
        <v>4</v>
      </c>
      <c r="L72" s="276">
        <v>3</v>
      </c>
      <c r="M72" s="276"/>
      <c r="N72" s="277">
        <f>O72+P72+Q72</f>
        <v>8</v>
      </c>
      <c r="O72" s="278">
        <v>3</v>
      </c>
      <c r="P72" s="278">
        <v>2</v>
      </c>
      <c r="Q72" s="278">
        <v>3</v>
      </c>
      <c r="R72" s="261">
        <f t="shared" si="51"/>
        <v>0</v>
      </c>
      <c r="S72" s="303"/>
      <c r="T72" s="303"/>
      <c r="U72" s="261">
        <f t="shared" si="52"/>
        <v>1</v>
      </c>
      <c r="V72" s="303"/>
      <c r="W72" s="278">
        <v>1</v>
      </c>
      <c r="X72" s="303"/>
      <c r="Y72" s="261">
        <f t="shared" si="53"/>
        <v>1</v>
      </c>
      <c r="Z72" s="303"/>
      <c r="AA72" s="278">
        <v>1</v>
      </c>
      <c r="AB72" s="282"/>
      <c r="AC72" s="283"/>
      <c r="AD72" s="264">
        <v>3080000</v>
      </c>
      <c r="AE72" s="265">
        <f t="shared" si="54"/>
        <v>30800000</v>
      </c>
      <c r="AF72" s="266">
        <f t="shared" si="55"/>
        <v>9240000</v>
      </c>
      <c r="AG72" s="267">
        <f t="shared" si="56"/>
        <v>12320000</v>
      </c>
      <c r="AH72" s="268">
        <f t="shared" si="57"/>
        <v>9240000</v>
      </c>
      <c r="AI72" s="269">
        <f t="shared" si="49"/>
        <v>0</v>
      </c>
      <c r="AJ72" s="827" t="s">
        <v>4228</v>
      </c>
      <c r="AK72" s="919"/>
      <c r="AL72" s="919"/>
      <c r="AM72" s="915">
        <f t="shared" si="47"/>
        <v>10</v>
      </c>
      <c r="AN72" s="918"/>
    </row>
    <row r="73" spans="1:40" s="10" customFormat="1" ht="162">
      <c r="A73" s="896">
        <v>61</v>
      </c>
      <c r="B73" s="275" t="s">
        <v>153</v>
      </c>
      <c r="C73" s="275" t="s">
        <v>126</v>
      </c>
      <c r="D73" s="260">
        <v>60</v>
      </c>
      <c r="E73" s="354" t="s">
        <v>244</v>
      </c>
      <c r="F73" s="275" t="s">
        <v>153</v>
      </c>
      <c r="G73" s="275" t="s">
        <v>126</v>
      </c>
      <c r="H73" s="259">
        <f t="shared" si="46"/>
        <v>10</v>
      </c>
      <c r="I73" s="258" t="s">
        <v>256</v>
      </c>
      <c r="J73" s="276">
        <v>3</v>
      </c>
      <c r="K73" s="276">
        <v>4</v>
      </c>
      <c r="L73" s="276">
        <v>3</v>
      </c>
      <c r="M73" s="276"/>
      <c r="N73" s="277">
        <f>O73+P73+Q73</f>
        <v>7</v>
      </c>
      <c r="O73" s="278">
        <v>3</v>
      </c>
      <c r="P73" s="278">
        <v>2</v>
      </c>
      <c r="Q73" s="278">
        <v>2</v>
      </c>
      <c r="R73" s="261">
        <f t="shared" si="51"/>
        <v>1</v>
      </c>
      <c r="S73" s="303"/>
      <c r="T73" s="278">
        <v>1</v>
      </c>
      <c r="U73" s="261">
        <f t="shared" si="52"/>
        <v>1</v>
      </c>
      <c r="V73" s="303"/>
      <c r="W73" s="303"/>
      <c r="X73" s="278">
        <v>1</v>
      </c>
      <c r="Y73" s="261">
        <f t="shared" si="53"/>
        <v>1</v>
      </c>
      <c r="Z73" s="278">
        <v>1</v>
      </c>
      <c r="AA73" s="278"/>
      <c r="AB73" s="282"/>
      <c r="AC73" s="283"/>
      <c r="AD73" s="264">
        <v>3481396</v>
      </c>
      <c r="AE73" s="265">
        <f t="shared" si="54"/>
        <v>34813960</v>
      </c>
      <c r="AF73" s="266">
        <f t="shared" si="55"/>
        <v>10444188</v>
      </c>
      <c r="AG73" s="267">
        <f t="shared" si="56"/>
        <v>13925584</v>
      </c>
      <c r="AH73" s="268">
        <f t="shared" si="57"/>
        <v>10444188</v>
      </c>
      <c r="AI73" s="269">
        <f t="shared" si="49"/>
        <v>0</v>
      </c>
      <c r="AJ73" s="827" t="s">
        <v>4228</v>
      </c>
      <c r="AK73" s="919" t="s">
        <v>4821</v>
      </c>
      <c r="AL73" s="919">
        <v>4</v>
      </c>
      <c r="AM73" s="915">
        <f t="shared" si="47"/>
        <v>6</v>
      </c>
      <c r="AN73" s="918">
        <v>5440000</v>
      </c>
    </row>
    <row r="74" spans="1:40" s="10" customFormat="1" ht="182.25">
      <c r="A74" s="896">
        <v>62</v>
      </c>
      <c r="B74" s="275" t="s">
        <v>154</v>
      </c>
      <c r="C74" s="275" t="s">
        <v>126</v>
      </c>
      <c r="D74" s="260">
        <v>61</v>
      </c>
      <c r="E74" s="354" t="s">
        <v>57</v>
      </c>
      <c r="F74" s="275" t="s">
        <v>154</v>
      </c>
      <c r="G74" s="275" t="s">
        <v>126</v>
      </c>
      <c r="H74" s="259">
        <f t="shared" si="46"/>
        <v>10</v>
      </c>
      <c r="I74" s="1101" t="s">
        <v>2768</v>
      </c>
      <c r="J74" s="276">
        <v>3</v>
      </c>
      <c r="K74" s="276">
        <v>4</v>
      </c>
      <c r="L74" s="276">
        <v>3</v>
      </c>
      <c r="M74" s="276"/>
      <c r="N74" s="277">
        <f>O74+P74+Q74</f>
        <v>6</v>
      </c>
      <c r="O74" s="278">
        <v>2</v>
      </c>
      <c r="P74" s="278">
        <v>2</v>
      </c>
      <c r="Q74" s="278">
        <v>2</v>
      </c>
      <c r="R74" s="261">
        <f t="shared" si="51"/>
        <v>1</v>
      </c>
      <c r="S74" s="278"/>
      <c r="T74" s="278">
        <v>1</v>
      </c>
      <c r="U74" s="261">
        <f t="shared" si="52"/>
        <v>2</v>
      </c>
      <c r="V74" s="278">
        <v>1</v>
      </c>
      <c r="W74" s="278">
        <v>1</v>
      </c>
      <c r="X74" s="278"/>
      <c r="Y74" s="261">
        <f t="shared" si="53"/>
        <v>1</v>
      </c>
      <c r="Z74" s="278"/>
      <c r="AA74" s="278">
        <v>1</v>
      </c>
      <c r="AB74" s="277"/>
      <c r="AC74" s="283"/>
      <c r="AD74" s="264">
        <v>1641704</v>
      </c>
      <c r="AE74" s="265">
        <f t="shared" si="54"/>
        <v>16417040</v>
      </c>
      <c r="AF74" s="266">
        <f t="shared" si="55"/>
        <v>4925112</v>
      </c>
      <c r="AG74" s="267">
        <f t="shared" si="56"/>
        <v>6566816</v>
      </c>
      <c r="AH74" s="268">
        <f t="shared" si="57"/>
        <v>4925112</v>
      </c>
      <c r="AI74" s="269">
        <f t="shared" si="49"/>
        <v>0</v>
      </c>
      <c r="AJ74" s="827" t="s">
        <v>4228</v>
      </c>
      <c r="AK74" s="919"/>
      <c r="AL74" s="919"/>
      <c r="AM74" s="915">
        <f t="shared" si="47"/>
        <v>10</v>
      </c>
      <c r="AN74" s="918"/>
    </row>
    <row r="75" spans="1:40" s="10" customFormat="1" ht="182.25">
      <c r="A75" s="896">
        <v>63</v>
      </c>
      <c r="B75" s="275" t="s">
        <v>155</v>
      </c>
      <c r="C75" s="275" t="s">
        <v>126</v>
      </c>
      <c r="D75" s="260">
        <v>62</v>
      </c>
      <c r="E75" s="354" t="s">
        <v>57</v>
      </c>
      <c r="F75" s="275" t="s">
        <v>155</v>
      </c>
      <c r="G75" s="275" t="s">
        <v>126</v>
      </c>
      <c r="H75" s="259">
        <f t="shared" si="46"/>
        <v>9</v>
      </c>
      <c r="I75" s="1103"/>
      <c r="J75" s="276">
        <v>3</v>
      </c>
      <c r="K75" s="276">
        <v>3</v>
      </c>
      <c r="L75" s="276">
        <v>3</v>
      </c>
      <c r="M75" s="276"/>
      <c r="N75" s="277">
        <f>O75+P75+Q75</f>
        <v>9</v>
      </c>
      <c r="O75" s="278">
        <v>3</v>
      </c>
      <c r="P75" s="278">
        <v>3</v>
      </c>
      <c r="Q75" s="278">
        <v>3</v>
      </c>
      <c r="R75" s="261">
        <f t="shared" si="51"/>
        <v>0</v>
      </c>
      <c r="S75" s="278"/>
      <c r="T75" s="278"/>
      <c r="U75" s="261">
        <f t="shared" si="52"/>
        <v>0</v>
      </c>
      <c r="V75" s="278"/>
      <c r="W75" s="278"/>
      <c r="X75" s="278"/>
      <c r="Y75" s="261">
        <f t="shared" si="53"/>
        <v>0</v>
      </c>
      <c r="Z75" s="278"/>
      <c r="AA75" s="278"/>
      <c r="AB75" s="277"/>
      <c r="AC75" s="283"/>
      <c r="AD75" s="264">
        <v>768487</v>
      </c>
      <c r="AE75" s="265">
        <f t="shared" si="54"/>
        <v>6916383</v>
      </c>
      <c r="AF75" s="266">
        <f t="shared" si="55"/>
        <v>2305461</v>
      </c>
      <c r="AG75" s="267">
        <f t="shared" si="56"/>
        <v>2305461</v>
      </c>
      <c r="AH75" s="268">
        <f t="shared" si="57"/>
        <v>2305461</v>
      </c>
      <c r="AI75" s="269">
        <f t="shared" si="49"/>
        <v>0</v>
      </c>
      <c r="AJ75" s="827" t="s">
        <v>4228</v>
      </c>
      <c r="AK75" s="919"/>
      <c r="AL75" s="919"/>
      <c r="AM75" s="915">
        <f t="shared" si="47"/>
        <v>9</v>
      </c>
      <c r="AN75" s="918"/>
    </row>
    <row r="76" spans="1:40" s="121" customFormat="1" ht="60.75">
      <c r="A76" s="897"/>
      <c r="B76" s="248" t="s">
        <v>59</v>
      </c>
      <c r="C76" s="248" t="s">
        <v>126</v>
      </c>
      <c r="D76" s="250">
        <v>10</v>
      </c>
      <c r="E76" s="352" t="s">
        <v>58</v>
      </c>
      <c r="F76" s="248" t="s">
        <v>59</v>
      </c>
      <c r="G76" s="248" t="s">
        <v>126</v>
      </c>
      <c r="H76" s="270">
        <f>H77+H78+H79+H80+H81+H82+H83</f>
        <v>375</v>
      </c>
      <c r="I76" s="249"/>
      <c r="J76" s="271">
        <f>J77+J78+J79+J80+J81+J82+J83</f>
        <v>69</v>
      </c>
      <c r="K76" s="271">
        <f t="shared" ref="K76:AC76" si="58">K77+K78+K79+K80+K81+K82+K83</f>
        <v>182</v>
      </c>
      <c r="L76" s="271">
        <f t="shared" si="58"/>
        <v>124</v>
      </c>
      <c r="M76" s="271">
        <f t="shared" si="58"/>
        <v>0</v>
      </c>
      <c r="N76" s="304">
        <f t="shared" si="58"/>
        <v>164</v>
      </c>
      <c r="O76" s="304">
        <f t="shared" si="58"/>
        <v>62</v>
      </c>
      <c r="P76" s="304">
        <f t="shared" si="58"/>
        <v>51</v>
      </c>
      <c r="Q76" s="304">
        <f t="shared" si="58"/>
        <v>51</v>
      </c>
      <c r="R76" s="304">
        <f t="shared" si="58"/>
        <v>64</v>
      </c>
      <c r="S76" s="304">
        <f t="shared" si="58"/>
        <v>39</v>
      </c>
      <c r="T76" s="304">
        <f t="shared" si="58"/>
        <v>25</v>
      </c>
      <c r="U76" s="304">
        <f t="shared" si="58"/>
        <v>95</v>
      </c>
      <c r="V76" s="304">
        <f t="shared" si="58"/>
        <v>33</v>
      </c>
      <c r="W76" s="304">
        <f t="shared" si="58"/>
        <v>27</v>
      </c>
      <c r="X76" s="304">
        <f t="shared" si="58"/>
        <v>35</v>
      </c>
      <c r="Y76" s="304">
        <f t="shared" si="58"/>
        <v>96</v>
      </c>
      <c r="Z76" s="304">
        <f t="shared" si="58"/>
        <v>43</v>
      </c>
      <c r="AA76" s="304">
        <f t="shared" si="58"/>
        <v>53</v>
      </c>
      <c r="AB76" s="304">
        <f t="shared" si="58"/>
        <v>17</v>
      </c>
      <c r="AC76" s="305">
        <f t="shared" si="58"/>
        <v>0</v>
      </c>
      <c r="AD76" s="253"/>
      <c r="AE76" s="254">
        <f>SUM(AE77:AE83)</f>
        <v>58547865</v>
      </c>
      <c r="AF76" s="255">
        <f>SUM(AF77:AF83)</f>
        <v>10173320</v>
      </c>
      <c r="AG76" s="256">
        <f>SUM(AG77:AG83)</f>
        <v>28946562</v>
      </c>
      <c r="AH76" s="255">
        <f>SUM(AH77:AH83)</f>
        <v>19427983</v>
      </c>
      <c r="AI76" s="274">
        <f t="shared" si="49"/>
        <v>0</v>
      </c>
      <c r="AJ76" s="828"/>
      <c r="AK76" s="66"/>
      <c r="AL76" s="66"/>
      <c r="AM76" s="915">
        <f t="shared" si="47"/>
        <v>375</v>
      </c>
      <c r="AN76" s="981"/>
    </row>
    <row r="77" spans="1:40" ht="101.25">
      <c r="A77" s="38">
        <v>64</v>
      </c>
      <c r="B77" s="258" t="s">
        <v>2769</v>
      </c>
      <c r="C77" s="258" t="s">
        <v>126</v>
      </c>
      <c r="D77" s="260">
        <v>63</v>
      </c>
      <c r="E77" s="351" t="s">
        <v>60</v>
      </c>
      <c r="F77" s="258" t="s">
        <v>2769</v>
      </c>
      <c r="G77" s="258" t="s">
        <v>126</v>
      </c>
      <c r="H77" s="419">
        <v>25</v>
      </c>
      <c r="I77" s="1101" t="s">
        <v>208</v>
      </c>
      <c r="J77" s="260"/>
      <c r="K77" s="260">
        <v>13</v>
      </c>
      <c r="L77" s="260">
        <v>12</v>
      </c>
      <c r="M77" s="260"/>
      <c r="N77" s="261">
        <f t="shared" si="50"/>
        <v>9</v>
      </c>
      <c r="O77" s="262">
        <v>3</v>
      </c>
      <c r="P77" s="262">
        <v>3</v>
      </c>
      <c r="Q77" s="262">
        <v>3</v>
      </c>
      <c r="R77" s="261">
        <f t="shared" si="51"/>
        <v>7</v>
      </c>
      <c r="S77" s="262">
        <v>4</v>
      </c>
      <c r="T77" s="262">
        <v>3</v>
      </c>
      <c r="U77" s="261">
        <f t="shared" si="52"/>
        <v>10</v>
      </c>
      <c r="V77" s="262">
        <v>3</v>
      </c>
      <c r="W77" s="262">
        <v>3</v>
      </c>
      <c r="X77" s="262">
        <v>4</v>
      </c>
      <c r="Y77" s="261">
        <f t="shared" si="53"/>
        <v>7</v>
      </c>
      <c r="Z77" s="262">
        <v>3</v>
      </c>
      <c r="AA77" s="262">
        <v>4</v>
      </c>
      <c r="AB77" s="261">
        <v>4</v>
      </c>
      <c r="AC77" s="263"/>
      <c r="AD77" s="264">
        <v>198000</v>
      </c>
      <c r="AE77" s="265">
        <f t="shared" si="54"/>
        <v>4950000</v>
      </c>
      <c r="AF77" s="266">
        <f t="shared" si="55"/>
        <v>0</v>
      </c>
      <c r="AG77" s="267">
        <f t="shared" si="56"/>
        <v>2574000</v>
      </c>
      <c r="AH77" s="268">
        <f t="shared" si="57"/>
        <v>2376000</v>
      </c>
      <c r="AI77" s="269">
        <f t="shared" si="49"/>
        <v>0</v>
      </c>
      <c r="AJ77" s="827" t="s">
        <v>4228</v>
      </c>
      <c r="AK77" s="916" t="s">
        <v>4764</v>
      </c>
      <c r="AL77" s="916">
        <v>10</v>
      </c>
      <c r="AM77" s="915">
        <f t="shared" si="47"/>
        <v>15</v>
      </c>
      <c r="AN77" s="399">
        <v>4290000</v>
      </c>
    </row>
    <row r="78" spans="1:40" ht="101.25">
      <c r="A78" s="38">
        <v>65</v>
      </c>
      <c r="B78" s="258" t="s">
        <v>2770</v>
      </c>
      <c r="C78" s="258" t="s">
        <v>126</v>
      </c>
      <c r="D78" s="260">
        <v>64</v>
      </c>
      <c r="E78" s="351" t="s">
        <v>60</v>
      </c>
      <c r="F78" s="258" t="s">
        <v>2770</v>
      </c>
      <c r="G78" s="258" t="s">
        <v>126</v>
      </c>
      <c r="H78" s="258">
        <v>25</v>
      </c>
      <c r="I78" s="1102"/>
      <c r="J78" s="260"/>
      <c r="K78" s="260">
        <v>13</v>
      </c>
      <c r="L78" s="260">
        <v>12</v>
      </c>
      <c r="M78" s="260"/>
      <c r="N78" s="261">
        <f t="shared" si="50"/>
        <v>13</v>
      </c>
      <c r="O78" s="262">
        <v>5</v>
      </c>
      <c r="P78" s="262">
        <v>4</v>
      </c>
      <c r="Q78" s="262">
        <v>4</v>
      </c>
      <c r="R78" s="261">
        <f t="shared" si="51"/>
        <v>8</v>
      </c>
      <c r="S78" s="262">
        <v>5</v>
      </c>
      <c r="T78" s="262">
        <v>3</v>
      </c>
      <c r="U78" s="261">
        <f t="shared" si="52"/>
        <v>13</v>
      </c>
      <c r="V78" s="262">
        <v>5</v>
      </c>
      <c r="W78" s="262">
        <v>4</v>
      </c>
      <c r="X78" s="262">
        <v>4</v>
      </c>
      <c r="Y78" s="261">
        <f t="shared" si="53"/>
        <v>9</v>
      </c>
      <c r="Z78" s="262">
        <v>5</v>
      </c>
      <c r="AA78" s="262">
        <v>4</v>
      </c>
      <c r="AB78" s="261">
        <v>3</v>
      </c>
      <c r="AC78" s="263"/>
      <c r="AD78" s="264">
        <v>135384</v>
      </c>
      <c r="AE78" s="265">
        <f t="shared" si="54"/>
        <v>3384600</v>
      </c>
      <c r="AF78" s="266">
        <f t="shared" si="55"/>
        <v>0</v>
      </c>
      <c r="AG78" s="267">
        <f t="shared" si="56"/>
        <v>1759992</v>
      </c>
      <c r="AH78" s="268">
        <f t="shared" si="57"/>
        <v>1624608</v>
      </c>
      <c r="AI78" s="269">
        <f t="shared" si="49"/>
        <v>0</v>
      </c>
      <c r="AJ78" s="827" t="s">
        <v>4228</v>
      </c>
      <c r="AK78" s="916" t="s">
        <v>4764</v>
      </c>
      <c r="AL78" s="916">
        <v>10</v>
      </c>
      <c r="AM78" s="915">
        <f t="shared" si="47"/>
        <v>15</v>
      </c>
      <c r="AN78" s="399">
        <v>3432000</v>
      </c>
    </row>
    <row r="79" spans="1:40" ht="101.25">
      <c r="A79" s="38">
        <v>66</v>
      </c>
      <c r="B79" s="258" t="s">
        <v>2771</v>
      </c>
      <c r="C79" s="258" t="s">
        <v>126</v>
      </c>
      <c r="D79" s="260">
        <v>65</v>
      </c>
      <c r="E79" s="351" t="s">
        <v>60</v>
      </c>
      <c r="F79" s="258" t="s">
        <v>2771</v>
      </c>
      <c r="G79" s="258" t="s">
        <v>126</v>
      </c>
      <c r="H79" s="419">
        <v>44</v>
      </c>
      <c r="I79" s="1103"/>
      <c r="J79" s="260">
        <v>14</v>
      </c>
      <c r="K79" s="260">
        <v>16</v>
      </c>
      <c r="L79" s="260">
        <v>14</v>
      </c>
      <c r="M79" s="260"/>
      <c r="N79" s="261">
        <f t="shared" si="50"/>
        <v>15</v>
      </c>
      <c r="O79" s="262">
        <v>5</v>
      </c>
      <c r="P79" s="262">
        <v>5</v>
      </c>
      <c r="Q79" s="262">
        <v>5</v>
      </c>
      <c r="R79" s="261">
        <f t="shared" si="51"/>
        <v>9</v>
      </c>
      <c r="S79" s="262">
        <v>5</v>
      </c>
      <c r="T79" s="262">
        <v>4</v>
      </c>
      <c r="U79" s="261">
        <f t="shared" si="52"/>
        <v>5</v>
      </c>
      <c r="V79" s="262"/>
      <c r="W79" s="262"/>
      <c r="X79" s="262">
        <v>5</v>
      </c>
      <c r="Y79" s="261">
        <f t="shared" si="53"/>
        <v>15</v>
      </c>
      <c r="Z79" s="262">
        <v>5</v>
      </c>
      <c r="AA79" s="262">
        <v>10</v>
      </c>
      <c r="AB79" s="261"/>
      <c r="AC79" s="263"/>
      <c r="AD79" s="264">
        <v>110000</v>
      </c>
      <c r="AE79" s="265">
        <f t="shared" si="54"/>
        <v>4840000</v>
      </c>
      <c r="AF79" s="266">
        <f t="shared" si="55"/>
        <v>1540000</v>
      </c>
      <c r="AG79" s="267">
        <f t="shared" si="56"/>
        <v>1760000</v>
      </c>
      <c r="AH79" s="268">
        <f t="shared" si="57"/>
        <v>1540000</v>
      </c>
      <c r="AI79" s="269">
        <f t="shared" si="49"/>
        <v>0</v>
      </c>
      <c r="AJ79" s="827" t="s">
        <v>4228</v>
      </c>
      <c r="AK79" s="916" t="s">
        <v>4764</v>
      </c>
      <c r="AL79" s="916">
        <v>14</v>
      </c>
      <c r="AM79" s="915">
        <f t="shared" si="47"/>
        <v>30</v>
      </c>
      <c r="AN79" s="399">
        <v>3123120</v>
      </c>
    </row>
    <row r="80" spans="1:40" ht="141.75">
      <c r="A80" s="38">
        <v>67</v>
      </c>
      <c r="B80" s="258" t="s">
        <v>2772</v>
      </c>
      <c r="C80" s="258" t="s">
        <v>126</v>
      </c>
      <c r="D80" s="260">
        <v>66</v>
      </c>
      <c r="E80" s="351" t="s">
        <v>185</v>
      </c>
      <c r="F80" s="258" t="s">
        <v>2772</v>
      </c>
      <c r="G80" s="258" t="s">
        <v>126</v>
      </c>
      <c r="H80" s="419">
        <v>145</v>
      </c>
      <c r="I80" s="258" t="s">
        <v>245</v>
      </c>
      <c r="J80" s="260">
        <v>40</v>
      </c>
      <c r="K80" s="260">
        <v>65</v>
      </c>
      <c r="L80" s="260">
        <v>40</v>
      </c>
      <c r="M80" s="260"/>
      <c r="N80" s="261">
        <f t="shared" si="50"/>
        <v>45</v>
      </c>
      <c r="O80" s="262">
        <v>15</v>
      </c>
      <c r="P80" s="262">
        <v>15</v>
      </c>
      <c r="Q80" s="262">
        <v>15</v>
      </c>
      <c r="R80" s="261">
        <f t="shared" si="51"/>
        <v>25</v>
      </c>
      <c r="S80" s="262">
        <v>15</v>
      </c>
      <c r="T80" s="262">
        <v>10</v>
      </c>
      <c r="U80" s="261">
        <f t="shared" si="52"/>
        <v>35</v>
      </c>
      <c r="V80" s="262">
        <v>15</v>
      </c>
      <c r="W80" s="262">
        <v>10</v>
      </c>
      <c r="X80" s="262">
        <v>10</v>
      </c>
      <c r="Y80" s="261">
        <f t="shared" si="53"/>
        <v>30</v>
      </c>
      <c r="Z80" s="262">
        <v>15</v>
      </c>
      <c r="AA80" s="262">
        <v>15</v>
      </c>
      <c r="AB80" s="261">
        <v>10</v>
      </c>
      <c r="AC80" s="263"/>
      <c r="AD80" s="264">
        <v>95833</v>
      </c>
      <c r="AE80" s="265">
        <f t="shared" si="54"/>
        <v>13895785</v>
      </c>
      <c r="AF80" s="266">
        <f t="shared" si="55"/>
        <v>3833320</v>
      </c>
      <c r="AG80" s="267">
        <f t="shared" si="56"/>
        <v>6229145</v>
      </c>
      <c r="AH80" s="268">
        <f t="shared" si="57"/>
        <v>3833320</v>
      </c>
      <c r="AI80" s="269">
        <f t="shared" si="49"/>
        <v>0</v>
      </c>
      <c r="AJ80" s="827" t="s">
        <v>4228</v>
      </c>
      <c r="AK80" s="916" t="s">
        <v>4764</v>
      </c>
      <c r="AL80" s="916">
        <v>40</v>
      </c>
      <c r="AM80" s="915">
        <f t="shared" si="47"/>
        <v>105</v>
      </c>
      <c r="AN80" s="399">
        <v>29952000</v>
      </c>
    </row>
    <row r="81" spans="1:40" ht="121.5">
      <c r="A81" s="38">
        <v>68</v>
      </c>
      <c r="B81" s="258" t="s">
        <v>2773</v>
      </c>
      <c r="C81" s="258" t="s">
        <v>126</v>
      </c>
      <c r="D81" s="260">
        <v>67</v>
      </c>
      <c r="E81" s="351" t="s">
        <v>61</v>
      </c>
      <c r="F81" s="258" t="s">
        <v>2773</v>
      </c>
      <c r="G81" s="258" t="s">
        <v>126</v>
      </c>
      <c r="H81" s="419">
        <v>36</v>
      </c>
      <c r="I81" s="1102" t="s">
        <v>186</v>
      </c>
      <c r="J81" s="260"/>
      <c r="K81" s="260">
        <v>20</v>
      </c>
      <c r="L81" s="260">
        <v>16</v>
      </c>
      <c r="M81" s="260"/>
      <c r="N81" s="261">
        <f t="shared" si="50"/>
        <v>18</v>
      </c>
      <c r="O81" s="262">
        <v>6</v>
      </c>
      <c r="P81" s="262">
        <v>6</v>
      </c>
      <c r="Q81" s="262">
        <v>6</v>
      </c>
      <c r="R81" s="261">
        <f t="shared" si="51"/>
        <v>10</v>
      </c>
      <c r="S81" s="262">
        <v>5</v>
      </c>
      <c r="T81" s="262">
        <v>5</v>
      </c>
      <c r="U81" s="261">
        <f t="shared" si="52"/>
        <v>6</v>
      </c>
      <c r="V81" s="262"/>
      <c r="W81" s="262"/>
      <c r="X81" s="262">
        <v>6</v>
      </c>
      <c r="Y81" s="261">
        <f t="shared" si="53"/>
        <v>15</v>
      </c>
      <c r="Z81" s="262">
        <v>5</v>
      </c>
      <c r="AA81" s="262">
        <v>10</v>
      </c>
      <c r="AB81" s="261"/>
      <c r="AC81" s="263"/>
      <c r="AD81" s="264">
        <v>260000</v>
      </c>
      <c r="AE81" s="265">
        <f t="shared" si="54"/>
        <v>9360000</v>
      </c>
      <c r="AF81" s="266">
        <f t="shared" si="55"/>
        <v>0</v>
      </c>
      <c r="AG81" s="267">
        <f t="shared" si="56"/>
        <v>5200000</v>
      </c>
      <c r="AH81" s="268">
        <f t="shared" si="57"/>
        <v>4160000</v>
      </c>
      <c r="AI81" s="269">
        <f t="shared" si="49"/>
        <v>0</v>
      </c>
      <c r="AJ81" s="827" t="s">
        <v>4228</v>
      </c>
      <c r="AK81" s="916" t="s">
        <v>4764</v>
      </c>
      <c r="AL81" s="916">
        <v>10</v>
      </c>
      <c r="AM81" s="915">
        <f t="shared" si="47"/>
        <v>26</v>
      </c>
      <c r="AN81" s="399">
        <v>2870400</v>
      </c>
    </row>
    <row r="82" spans="1:40" ht="121.5">
      <c r="A82" s="38">
        <v>69</v>
      </c>
      <c r="B82" s="258" t="s">
        <v>2774</v>
      </c>
      <c r="C82" s="258" t="s">
        <v>126</v>
      </c>
      <c r="D82" s="260">
        <v>68</v>
      </c>
      <c r="E82" s="351" t="s">
        <v>61</v>
      </c>
      <c r="F82" s="258" t="s">
        <v>2774</v>
      </c>
      <c r="G82" s="258" t="s">
        <v>126</v>
      </c>
      <c r="H82" s="419">
        <v>40</v>
      </c>
      <c r="I82" s="1103"/>
      <c r="J82" s="260"/>
      <c r="K82" s="260">
        <v>25</v>
      </c>
      <c r="L82" s="260">
        <v>15</v>
      </c>
      <c r="M82" s="260"/>
      <c r="N82" s="261">
        <f t="shared" si="50"/>
        <v>24</v>
      </c>
      <c r="O82" s="262">
        <v>8</v>
      </c>
      <c r="P82" s="262">
        <v>8</v>
      </c>
      <c r="Q82" s="262">
        <v>8</v>
      </c>
      <c r="R82" s="261">
        <f t="shared" si="51"/>
        <v>5</v>
      </c>
      <c r="S82" s="262">
        <v>5</v>
      </c>
      <c r="T82" s="262"/>
      <c r="U82" s="261">
        <f t="shared" si="52"/>
        <v>6</v>
      </c>
      <c r="V82" s="262"/>
      <c r="W82" s="262"/>
      <c r="X82" s="262">
        <v>6</v>
      </c>
      <c r="Y82" s="261">
        <f t="shared" si="53"/>
        <v>20</v>
      </c>
      <c r="Z82" s="262">
        <v>10</v>
      </c>
      <c r="AA82" s="262">
        <v>10</v>
      </c>
      <c r="AB82" s="261"/>
      <c r="AC82" s="263"/>
      <c r="AD82" s="264">
        <v>72937</v>
      </c>
      <c r="AE82" s="265">
        <f t="shared" si="54"/>
        <v>2917480</v>
      </c>
      <c r="AF82" s="266">
        <f t="shared" si="55"/>
        <v>0</v>
      </c>
      <c r="AG82" s="267">
        <f t="shared" si="56"/>
        <v>1823425</v>
      </c>
      <c r="AH82" s="268">
        <f t="shared" si="57"/>
        <v>1094055</v>
      </c>
      <c r="AI82" s="269">
        <f t="shared" si="49"/>
        <v>0</v>
      </c>
      <c r="AJ82" s="827" t="s">
        <v>4228</v>
      </c>
      <c r="AK82" s="916" t="s">
        <v>4764</v>
      </c>
      <c r="AL82" s="916">
        <v>15</v>
      </c>
      <c r="AM82" s="915">
        <f t="shared" si="47"/>
        <v>25</v>
      </c>
      <c r="AN82" s="399">
        <v>4095000</v>
      </c>
    </row>
    <row r="83" spans="1:40" ht="121.5">
      <c r="A83" s="38">
        <v>70</v>
      </c>
      <c r="B83" s="275" t="s">
        <v>156</v>
      </c>
      <c r="C83" s="306" t="s">
        <v>126</v>
      </c>
      <c r="D83" s="260">
        <v>69</v>
      </c>
      <c r="E83" s="354" t="s">
        <v>61</v>
      </c>
      <c r="F83" s="275" t="s">
        <v>156</v>
      </c>
      <c r="G83" s="306" t="s">
        <v>126</v>
      </c>
      <c r="H83" s="419">
        <v>60</v>
      </c>
      <c r="I83" s="307" t="s">
        <v>163</v>
      </c>
      <c r="J83" s="260">
        <v>15</v>
      </c>
      <c r="K83" s="260">
        <v>30</v>
      </c>
      <c r="L83" s="260">
        <v>15</v>
      </c>
      <c r="M83" s="260"/>
      <c r="N83" s="261">
        <f t="shared" si="50"/>
        <v>40</v>
      </c>
      <c r="O83" s="278">
        <v>20</v>
      </c>
      <c r="P83" s="278">
        <v>10</v>
      </c>
      <c r="Q83" s="278">
        <v>10</v>
      </c>
      <c r="R83" s="261">
        <f t="shared" si="51"/>
        <v>0</v>
      </c>
      <c r="S83" s="262"/>
      <c r="T83" s="262"/>
      <c r="U83" s="261">
        <f t="shared" si="52"/>
        <v>20</v>
      </c>
      <c r="V83" s="262">
        <v>10</v>
      </c>
      <c r="W83" s="262">
        <v>10</v>
      </c>
      <c r="X83" s="262"/>
      <c r="Y83" s="261">
        <f t="shared" si="53"/>
        <v>0</v>
      </c>
      <c r="Z83" s="262"/>
      <c r="AA83" s="262"/>
      <c r="AB83" s="261"/>
      <c r="AC83" s="263"/>
      <c r="AD83" s="264">
        <v>320000</v>
      </c>
      <c r="AE83" s="265">
        <f t="shared" si="54"/>
        <v>19200000</v>
      </c>
      <c r="AF83" s="266">
        <f t="shared" si="55"/>
        <v>4800000</v>
      </c>
      <c r="AG83" s="267">
        <f t="shared" si="56"/>
        <v>9600000</v>
      </c>
      <c r="AH83" s="268">
        <f t="shared" si="57"/>
        <v>4800000</v>
      </c>
      <c r="AI83" s="269">
        <f t="shared" si="49"/>
        <v>0</v>
      </c>
      <c r="AJ83" s="827" t="s">
        <v>4228</v>
      </c>
      <c r="AK83" s="916" t="s">
        <v>4764</v>
      </c>
      <c r="AL83" s="916">
        <v>20</v>
      </c>
      <c r="AM83" s="915">
        <f t="shared" si="47"/>
        <v>40</v>
      </c>
      <c r="AN83" s="399">
        <v>7425600</v>
      </c>
    </row>
    <row r="84" spans="1:40" s="121" customFormat="1" ht="40.5">
      <c r="A84" s="897"/>
      <c r="B84" s="248" t="s">
        <v>63</v>
      </c>
      <c r="C84" s="248" t="s">
        <v>126</v>
      </c>
      <c r="D84" s="250">
        <v>11</v>
      </c>
      <c r="E84" s="352" t="s">
        <v>62</v>
      </c>
      <c r="F84" s="248" t="s">
        <v>63</v>
      </c>
      <c r="G84" s="248" t="s">
        <v>126</v>
      </c>
      <c r="H84" s="248">
        <f t="shared" si="46"/>
        <v>894</v>
      </c>
      <c r="I84" s="249"/>
      <c r="J84" s="250">
        <f>J85+J86++J87+J88+J89+J90</f>
        <v>0</v>
      </c>
      <c r="K84" s="250">
        <f>K85+K86++K87+K88+K89+K90</f>
        <v>453</v>
      </c>
      <c r="L84" s="250">
        <f>L85+L86++L87+L88+L89+L90</f>
        <v>441</v>
      </c>
      <c r="M84" s="250">
        <f>M85+M86++M87+M88+M89+M90</f>
        <v>0</v>
      </c>
      <c r="N84" s="260">
        <f t="shared" ref="N84:AC84" si="59">N85+N86+N87+N88+N89+N90</f>
        <v>294</v>
      </c>
      <c r="O84" s="260">
        <f t="shared" si="59"/>
        <v>99</v>
      </c>
      <c r="P84" s="260">
        <f t="shared" si="59"/>
        <v>105</v>
      </c>
      <c r="Q84" s="260">
        <f t="shared" si="59"/>
        <v>90</v>
      </c>
      <c r="R84" s="260">
        <f t="shared" si="59"/>
        <v>171</v>
      </c>
      <c r="S84" s="260">
        <f t="shared" si="59"/>
        <v>99</v>
      </c>
      <c r="T84" s="260">
        <f t="shared" si="59"/>
        <v>72</v>
      </c>
      <c r="U84" s="260">
        <f t="shared" si="59"/>
        <v>201</v>
      </c>
      <c r="V84" s="260">
        <f t="shared" si="59"/>
        <v>57</v>
      </c>
      <c r="W84" s="260">
        <f t="shared" si="59"/>
        <v>54</v>
      </c>
      <c r="X84" s="260">
        <f t="shared" si="59"/>
        <v>90</v>
      </c>
      <c r="Y84" s="260">
        <f t="shared" si="59"/>
        <v>183</v>
      </c>
      <c r="Z84" s="260">
        <f t="shared" si="59"/>
        <v>90</v>
      </c>
      <c r="AA84" s="260">
        <f t="shared" si="59"/>
        <v>93</v>
      </c>
      <c r="AB84" s="260">
        <f t="shared" si="59"/>
        <v>45</v>
      </c>
      <c r="AC84" s="308">
        <f t="shared" si="59"/>
        <v>0</v>
      </c>
      <c r="AD84" s="253"/>
      <c r="AE84" s="254">
        <f>SUM(AE85:AE90)</f>
        <v>5754540</v>
      </c>
      <c r="AF84" s="255">
        <f>SUM(AF85:AF90)</f>
        <v>0</v>
      </c>
      <c r="AG84" s="256">
        <f>SUM(AG85:AG90)</f>
        <v>2904132</v>
      </c>
      <c r="AH84" s="255">
        <f>SUM(AH85:AH90)</f>
        <v>2850408</v>
      </c>
      <c r="AI84" s="274">
        <f t="shared" si="49"/>
        <v>0</v>
      </c>
      <c r="AJ84" s="828"/>
      <c r="AK84" s="66"/>
      <c r="AL84" s="66"/>
      <c r="AM84" s="915"/>
      <c r="AN84" s="981"/>
    </row>
    <row r="85" spans="1:40" ht="121.5">
      <c r="A85" s="38">
        <v>71</v>
      </c>
      <c r="B85" s="258" t="s">
        <v>2775</v>
      </c>
      <c r="C85" s="258" t="s">
        <v>126</v>
      </c>
      <c r="D85" s="260">
        <v>70</v>
      </c>
      <c r="E85" s="351" t="s">
        <v>64</v>
      </c>
      <c r="F85" s="258" t="s">
        <v>2775</v>
      </c>
      <c r="G85" s="258" t="s">
        <v>126</v>
      </c>
      <c r="H85" s="258">
        <f t="shared" si="46"/>
        <v>126</v>
      </c>
      <c r="I85" s="258"/>
      <c r="J85" s="260"/>
      <c r="K85" s="260">
        <v>66</v>
      </c>
      <c r="L85" s="260">
        <v>60</v>
      </c>
      <c r="M85" s="260"/>
      <c r="N85" s="261">
        <f t="shared" si="50"/>
        <v>36</v>
      </c>
      <c r="O85" s="262">
        <v>12</v>
      </c>
      <c r="P85" s="262">
        <v>12</v>
      </c>
      <c r="Q85" s="262">
        <v>12</v>
      </c>
      <c r="R85" s="261">
        <f t="shared" si="51"/>
        <v>30</v>
      </c>
      <c r="S85" s="262">
        <v>18</v>
      </c>
      <c r="T85" s="262">
        <v>12</v>
      </c>
      <c r="U85" s="261">
        <f t="shared" si="52"/>
        <v>18</v>
      </c>
      <c r="V85" s="262"/>
      <c r="W85" s="262"/>
      <c r="X85" s="262">
        <v>18</v>
      </c>
      <c r="Y85" s="261">
        <f t="shared" si="53"/>
        <v>33</v>
      </c>
      <c r="Z85" s="262">
        <v>15</v>
      </c>
      <c r="AA85" s="262">
        <v>18</v>
      </c>
      <c r="AB85" s="261">
        <v>9</v>
      </c>
      <c r="AC85" s="263"/>
      <c r="AD85" s="264">
        <v>5337</v>
      </c>
      <c r="AE85" s="265">
        <f t="shared" si="54"/>
        <v>672462</v>
      </c>
      <c r="AF85" s="266">
        <f t="shared" si="55"/>
        <v>0</v>
      </c>
      <c r="AG85" s="267">
        <f t="shared" si="56"/>
        <v>352242</v>
      </c>
      <c r="AH85" s="268">
        <f t="shared" si="57"/>
        <v>320220</v>
      </c>
      <c r="AI85" s="269">
        <f t="shared" si="49"/>
        <v>0</v>
      </c>
      <c r="AJ85" s="827" t="s">
        <v>4228</v>
      </c>
      <c r="AK85" s="916" t="s">
        <v>4764</v>
      </c>
      <c r="AL85" s="916">
        <v>66</v>
      </c>
      <c r="AM85" s="915">
        <f t="shared" si="47"/>
        <v>60</v>
      </c>
      <c r="AN85" s="399">
        <v>2141568</v>
      </c>
    </row>
    <row r="86" spans="1:40" ht="121.5">
      <c r="A86" s="38">
        <v>72</v>
      </c>
      <c r="B86" s="258" t="s">
        <v>2776</v>
      </c>
      <c r="C86" s="258" t="s">
        <v>126</v>
      </c>
      <c r="D86" s="260">
        <v>71</v>
      </c>
      <c r="E86" s="351" t="s">
        <v>64</v>
      </c>
      <c r="F86" s="258" t="s">
        <v>2776</v>
      </c>
      <c r="G86" s="258" t="s">
        <v>126</v>
      </c>
      <c r="H86" s="258">
        <f t="shared" si="46"/>
        <v>156</v>
      </c>
      <c r="I86" s="258"/>
      <c r="J86" s="260"/>
      <c r="K86" s="260">
        <v>78</v>
      </c>
      <c r="L86" s="260">
        <v>78</v>
      </c>
      <c r="M86" s="260"/>
      <c r="N86" s="261">
        <f t="shared" si="50"/>
        <v>69</v>
      </c>
      <c r="O86" s="262">
        <v>24</v>
      </c>
      <c r="P86" s="262">
        <v>24</v>
      </c>
      <c r="Q86" s="262">
        <v>21</v>
      </c>
      <c r="R86" s="261">
        <f t="shared" si="51"/>
        <v>30</v>
      </c>
      <c r="S86" s="262">
        <v>12</v>
      </c>
      <c r="T86" s="262">
        <v>18</v>
      </c>
      <c r="U86" s="261">
        <f t="shared" si="52"/>
        <v>15</v>
      </c>
      <c r="V86" s="262"/>
      <c r="W86" s="262"/>
      <c r="X86" s="262">
        <v>15</v>
      </c>
      <c r="Y86" s="261">
        <f t="shared" si="53"/>
        <v>33</v>
      </c>
      <c r="Z86" s="262">
        <v>15</v>
      </c>
      <c r="AA86" s="262">
        <v>18</v>
      </c>
      <c r="AB86" s="261">
        <v>9</v>
      </c>
      <c r="AC86" s="263"/>
      <c r="AD86" s="264">
        <v>5112</v>
      </c>
      <c r="AE86" s="265">
        <f t="shared" si="54"/>
        <v>797472</v>
      </c>
      <c r="AF86" s="266">
        <f t="shared" si="55"/>
        <v>0</v>
      </c>
      <c r="AG86" s="267">
        <f t="shared" si="56"/>
        <v>398736</v>
      </c>
      <c r="AH86" s="268">
        <f t="shared" si="57"/>
        <v>398736</v>
      </c>
      <c r="AI86" s="269">
        <f t="shared" si="49"/>
        <v>0</v>
      </c>
      <c r="AJ86" s="827" t="s">
        <v>4228</v>
      </c>
      <c r="AK86" s="916" t="s">
        <v>4764</v>
      </c>
      <c r="AL86" s="916">
        <v>78</v>
      </c>
      <c r="AM86" s="915">
        <f t="shared" si="47"/>
        <v>78</v>
      </c>
      <c r="AN86" s="399">
        <v>1910376</v>
      </c>
    </row>
    <row r="87" spans="1:40" ht="121.5">
      <c r="A87" s="38">
        <v>73</v>
      </c>
      <c r="B87" s="258" t="s">
        <v>2777</v>
      </c>
      <c r="C87" s="258" t="s">
        <v>126</v>
      </c>
      <c r="D87" s="260">
        <v>72</v>
      </c>
      <c r="E87" s="351" t="s">
        <v>64</v>
      </c>
      <c r="F87" s="258" t="s">
        <v>2777</v>
      </c>
      <c r="G87" s="258" t="s">
        <v>126</v>
      </c>
      <c r="H87" s="258">
        <f t="shared" si="46"/>
        <v>177</v>
      </c>
      <c r="I87" s="258"/>
      <c r="J87" s="260"/>
      <c r="K87" s="260">
        <v>90</v>
      </c>
      <c r="L87" s="260">
        <v>87</v>
      </c>
      <c r="M87" s="260"/>
      <c r="N87" s="261">
        <f t="shared" si="50"/>
        <v>69</v>
      </c>
      <c r="O87" s="262">
        <v>21</v>
      </c>
      <c r="P87" s="262">
        <v>24</v>
      </c>
      <c r="Q87" s="262">
        <v>24</v>
      </c>
      <c r="R87" s="261">
        <f t="shared" si="51"/>
        <v>27</v>
      </c>
      <c r="S87" s="262">
        <v>15</v>
      </c>
      <c r="T87" s="262">
        <v>12</v>
      </c>
      <c r="U87" s="261">
        <f t="shared" si="52"/>
        <v>36</v>
      </c>
      <c r="V87" s="262">
        <v>12</v>
      </c>
      <c r="W87" s="262">
        <v>12</v>
      </c>
      <c r="X87" s="262">
        <v>12</v>
      </c>
      <c r="Y87" s="261">
        <f t="shared" si="53"/>
        <v>27</v>
      </c>
      <c r="Z87" s="262">
        <v>12</v>
      </c>
      <c r="AA87" s="262">
        <v>15</v>
      </c>
      <c r="AB87" s="261">
        <v>18</v>
      </c>
      <c r="AC87" s="263"/>
      <c r="AD87" s="264">
        <v>10764</v>
      </c>
      <c r="AE87" s="265">
        <f t="shared" si="54"/>
        <v>1905228</v>
      </c>
      <c r="AF87" s="266">
        <f t="shared" si="55"/>
        <v>0</v>
      </c>
      <c r="AG87" s="267">
        <f t="shared" si="56"/>
        <v>968760</v>
      </c>
      <c r="AH87" s="268">
        <f t="shared" si="57"/>
        <v>936468</v>
      </c>
      <c r="AI87" s="269">
        <f t="shared" si="49"/>
        <v>0</v>
      </c>
      <c r="AJ87" s="827" t="s">
        <v>4228</v>
      </c>
      <c r="AK87" s="916" t="s">
        <v>4764</v>
      </c>
      <c r="AL87" s="916">
        <v>90</v>
      </c>
      <c r="AM87" s="915">
        <f t="shared" si="47"/>
        <v>87</v>
      </c>
      <c r="AN87" s="399">
        <v>1502280</v>
      </c>
    </row>
    <row r="88" spans="1:40" ht="141.75">
      <c r="A88" s="38">
        <v>74</v>
      </c>
      <c r="B88" s="258" t="s">
        <v>2778</v>
      </c>
      <c r="C88" s="258" t="s">
        <v>126</v>
      </c>
      <c r="D88" s="260">
        <v>73</v>
      </c>
      <c r="E88" s="351" t="s">
        <v>64</v>
      </c>
      <c r="F88" s="258" t="s">
        <v>2778</v>
      </c>
      <c r="G88" s="258" t="s">
        <v>126</v>
      </c>
      <c r="H88" s="258">
        <f t="shared" si="46"/>
        <v>147</v>
      </c>
      <c r="I88" s="258"/>
      <c r="J88" s="260"/>
      <c r="K88" s="260">
        <v>72</v>
      </c>
      <c r="L88" s="260">
        <v>75</v>
      </c>
      <c r="M88" s="260"/>
      <c r="N88" s="261">
        <f t="shared" si="50"/>
        <v>63</v>
      </c>
      <c r="O88" s="262">
        <v>24</v>
      </c>
      <c r="P88" s="262">
        <v>21</v>
      </c>
      <c r="Q88" s="262">
        <v>18</v>
      </c>
      <c r="R88" s="261">
        <f t="shared" si="51"/>
        <v>30</v>
      </c>
      <c r="S88" s="262">
        <v>18</v>
      </c>
      <c r="T88" s="262">
        <v>12</v>
      </c>
      <c r="U88" s="261">
        <f t="shared" si="52"/>
        <v>33</v>
      </c>
      <c r="V88" s="262">
        <v>9</v>
      </c>
      <c r="W88" s="262">
        <v>15</v>
      </c>
      <c r="X88" s="262">
        <v>9</v>
      </c>
      <c r="Y88" s="261">
        <f t="shared" si="53"/>
        <v>21</v>
      </c>
      <c r="Z88" s="262">
        <v>12</v>
      </c>
      <c r="AA88" s="262">
        <v>9</v>
      </c>
      <c r="AB88" s="261"/>
      <c r="AC88" s="263"/>
      <c r="AD88" s="264">
        <v>8970</v>
      </c>
      <c r="AE88" s="265">
        <f t="shared" si="54"/>
        <v>1318590</v>
      </c>
      <c r="AF88" s="266">
        <f t="shared" si="55"/>
        <v>0</v>
      </c>
      <c r="AG88" s="267">
        <f t="shared" si="56"/>
        <v>645840</v>
      </c>
      <c r="AH88" s="268">
        <f t="shared" si="57"/>
        <v>672750</v>
      </c>
      <c r="AI88" s="269">
        <f t="shared" si="49"/>
        <v>0</v>
      </c>
      <c r="AJ88" s="827" t="s">
        <v>4228</v>
      </c>
      <c r="AK88" s="916" t="s">
        <v>4764</v>
      </c>
      <c r="AL88" s="916">
        <v>72</v>
      </c>
      <c r="AM88" s="915">
        <f t="shared" si="47"/>
        <v>75</v>
      </c>
      <c r="AN88" s="399">
        <v>1033344</v>
      </c>
    </row>
    <row r="89" spans="1:40" ht="162">
      <c r="A89" s="38">
        <v>75</v>
      </c>
      <c r="B89" s="258" t="s">
        <v>2779</v>
      </c>
      <c r="C89" s="258" t="s">
        <v>126</v>
      </c>
      <c r="D89" s="260">
        <v>74</v>
      </c>
      <c r="E89" s="351" t="s">
        <v>65</v>
      </c>
      <c r="F89" s="258" t="s">
        <v>2779</v>
      </c>
      <c r="G89" s="258" t="s">
        <v>126</v>
      </c>
      <c r="H89" s="258">
        <f t="shared" si="46"/>
        <v>132</v>
      </c>
      <c r="I89" s="258"/>
      <c r="J89" s="260"/>
      <c r="K89" s="260">
        <v>75</v>
      </c>
      <c r="L89" s="260">
        <v>57</v>
      </c>
      <c r="M89" s="260"/>
      <c r="N89" s="261">
        <f t="shared" si="50"/>
        <v>27</v>
      </c>
      <c r="O89" s="262">
        <v>9</v>
      </c>
      <c r="P89" s="262">
        <v>12</v>
      </c>
      <c r="Q89" s="262">
        <v>6</v>
      </c>
      <c r="R89" s="261">
        <f t="shared" si="51"/>
        <v>24</v>
      </c>
      <c r="S89" s="262">
        <v>18</v>
      </c>
      <c r="T89" s="262">
        <v>6</v>
      </c>
      <c r="U89" s="261">
        <f t="shared" si="52"/>
        <v>48</v>
      </c>
      <c r="V89" s="262">
        <v>18</v>
      </c>
      <c r="W89" s="262">
        <v>12</v>
      </c>
      <c r="X89" s="262">
        <v>18</v>
      </c>
      <c r="Y89" s="261">
        <f t="shared" si="53"/>
        <v>33</v>
      </c>
      <c r="Z89" s="262">
        <v>18</v>
      </c>
      <c r="AA89" s="262">
        <v>15</v>
      </c>
      <c r="AB89" s="261"/>
      <c r="AC89" s="263"/>
      <c r="AD89" s="264">
        <v>3478</v>
      </c>
      <c r="AE89" s="265">
        <f t="shared" si="54"/>
        <v>459096</v>
      </c>
      <c r="AF89" s="266">
        <f t="shared" si="55"/>
        <v>0</v>
      </c>
      <c r="AG89" s="267">
        <f t="shared" si="56"/>
        <v>260850</v>
      </c>
      <c r="AH89" s="268">
        <f t="shared" si="57"/>
        <v>198246</v>
      </c>
      <c r="AI89" s="269">
        <f t="shared" si="49"/>
        <v>0</v>
      </c>
      <c r="AJ89" s="827" t="s">
        <v>4228</v>
      </c>
      <c r="AK89" s="916" t="s">
        <v>4764</v>
      </c>
      <c r="AL89" s="916">
        <v>75</v>
      </c>
      <c r="AM89" s="915">
        <f t="shared" si="47"/>
        <v>57</v>
      </c>
      <c r="AN89" s="399">
        <v>468000</v>
      </c>
    </row>
    <row r="90" spans="1:40" ht="162">
      <c r="A90" s="38">
        <v>76</v>
      </c>
      <c r="B90" s="258" t="s">
        <v>2780</v>
      </c>
      <c r="C90" s="258" t="s">
        <v>126</v>
      </c>
      <c r="D90" s="260">
        <v>75</v>
      </c>
      <c r="E90" s="351" t="s">
        <v>65</v>
      </c>
      <c r="F90" s="258" t="s">
        <v>2780</v>
      </c>
      <c r="G90" s="258" t="s">
        <v>126</v>
      </c>
      <c r="H90" s="258">
        <f t="shared" si="46"/>
        <v>156</v>
      </c>
      <c r="I90" s="258"/>
      <c r="J90" s="260"/>
      <c r="K90" s="260">
        <v>72</v>
      </c>
      <c r="L90" s="260">
        <v>84</v>
      </c>
      <c r="M90" s="260"/>
      <c r="N90" s="261">
        <f t="shared" si="50"/>
        <v>30</v>
      </c>
      <c r="O90" s="262">
        <v>9</v>
      </c>
      <c r="P90" s="262">
        <v>12</v>
      </c>
      <c r="Q90" s="262">
        <v>9</v>
      </c>
      <c r="R90" s="261">
        <f t="shared" si="51"/>
        <v>30</v>
      </c>
      <c r="S90" s="262">
        <v>18</v>
      </c>
      <c r="T90" s="262">
        <v>12</v>
      </c>
      <c r="U90" s="261">
        <f t="shared" si="52"/>
        <v>51</v>
      </c>
      <c r="V90" s="262">
        <v>18</v>
      </c>
      <c r="W90" s="262">
        <v>15</v>
      </c>
      <c r="X90" s="262">
        <v>18</v>
      </c>
      <c r="Y90" s="261">
        <f t="shared" si="53"/>
        <v>36</v>
      </c>
      <c r="Z90" s="262">
        <v>18</v>
      </c>
      <c r="AA90" s="262">
        <v>18</v>
      </c>
      <c r="AB90" s="261">
        <v>9</v>
      </c>
      <c r="AC90" s="263"/>
      <c r="AD90" s="264">
        <v>3857</v>
      </c>
      <c r="AE90" s="265">
        <f t="shared" si="54"/>
        <v>601692</v>
      </c>
      <c r="AF90" s="266">
        <f t="shared" si="55"/>
        <v>0</v>
      </c>
      <c r="AG90" s="267">
        <f t="shared" si="56"/>
        <v>277704</v>
      </c>
      <c r="AH90" s="268">
        <f t="shared" si="57"/>
        <v>323988</v>
      </c>
      <c r="AI90" s="269">
        <f t="shared" si="49"/>
        <v>0</v>
      </c>
      <c r="AJ90" s="827" t="s">
        <v>4228</v>
      </c>
      <c r="AK90" s="916" t="s">
        <v>4822</v>
      </c>
      <c r="AL90" s="916">
        <v>72</v>
      </c>
      <c r="AM90" s="915">
        <f t="shared" si="47"/>
        <v>84</v>
      </c>
      <c r="AN90" s="399">
        <v>589680</v>
      </c>
    </row>
    <row r="91" spans="1:40" s="5" customFormat="1" ht="162">
      <c r="A91" s="895"/>
      <c r="B91" s="248" t="s">
        <v>67</v>
      </c>
      <c r="C91" s="248" t="s">
        <v>68</v>
      </c>
      <c r="D91" s="250">
        <v>12</v>
      </c>
      <c r="E91" s="352" t="s">
        <v>66</v>
      </c>
      <c r="F91" s="248" t="s">
        <v>67</v>
      </c>
      <c r="G91" s="248" t="s">
        <v>68</v>
      </c>
      <c r="H91" s="248">
        <f>N91+R91+U91+Y91+AB91+AC91</f>
        <v>6350</v>
      </c>
      <c r="I91" s="249"/>
      <c r="J91" s="250">
        <f t="shared" ref="J91:AC91" si="60">J92+J93+J94+J95+J96+J97+J98+J99+J100</f>
        <v>1750</v>
      </c>
      <c r="K91" s="250">
        <f t="shared" si="60"/>
        <v>2750</v>
      </c>
      <c r="L91" s="250">
        <f t="shared" si="60"/>
        <v>1850</v>
      </c>
      <c r="M91" s="250">
        <f t="shared" si="60"/>
        <v>0</v>
      </c>
      <c r="N91" s="251">
        <f t="shared" si="60"/>
        <v>1100</v>
      </c>
      <c r="O91" s="251">
        <f t="shared" si="60"/>
        <v>800</v>
      </c>
      <c r="P91" s="251">
        <f t="shared" si="60"/>
        <v>100</v>
      </c>
      <c r="Q91" s="251">
        <f t="shared" si="60"/>
        <v>200</v>
      </c>
      <c r="R91" s="251">
        <f t="shared" si="60"/>
        <v>950</v>
      </c>
      <c r="S91" s="251">
        <f t="shared" si="60"/>
        <v>800</v>
      </c>
      <c r="T91" s="251">
        <f t="shared" si="60"/>
        <v>150</v>
      </c>
      <c r="U91" s="251">
        <f t="shared" si="60"/>
        <v>2750</v>
      </c>
      <c r="V91" s="251">
        <f t="shared" si="60"/>
        <v>300</v>
      </c>
      <c r="W91" s="251">
        <f t="shared" si="60"/>
        <v>650</v>
      </c>
      <c r="X91" s="251">
        <f t="shared" si="60"/>
        <v>1800</v>
      </c>
      <c r="Y91" s="251">
        <f t="shared" si="60"/>
        <v>1450</v>
      </c>
      <c r="Z91" s="251">
        <f t="shared" si="60"/>
        <v>1300</v>
      </c>
      <c r="AA91" s="251">
        <f t="shared" si="60"/>
        <v>150</v>
      </c>
      <c r="AB91" s="251">
        <f t="shared" si="60"/>
        <v>100</v>
      </c>
      <c r="AC91" s="252">
        <f t="shared" si="60"/>
        <v>0</v>
      </c>
      <c r="AD91" s="253"/>
      <c r="AE91" s="254">
        <f>SUM(AE92:AE100)</f>
        <v>1541846150</v>
      </c>
      <c r="AF91" s="255">
        <f>SUM(AF92:AF100)</f>
        <v>443143900</v>
      </c>
      <c r="AG91" s="256">
        <f>SUM(AG92:AG100)</f>
        <v>711353450</v>
      </c>
      <c r="AH91" s="255">
        <f>SUM(AH92:AH99)</f>
        <v>387348800</v>
      </c>
      <c r="AI91" s="274">
        <f t="shared" si="49"/>
        <v>0</v>
      </c>
      <c r="AJ91" s="828"/>
      <c r="AK91" s="916"/>
      <c r="AL91" s="916"/>
      <c r="AM91" s="915">
        <f t="shared" si="47"/>
        <v>6350</v>
      </c>
      <c r="AN91" s="399"/>
    </row>
    <row r="92" spans="1:40" ht="182.25">
      <c r="A92" s="38">
        <v>77</v>
      </c>
      <c r="B92" s="258" t="s">
        <v>2781</v>
      </c>
      <c r="C92" s="258" t="s">
        <v>68</v>
      </c>
      <c r="D92" s="260">
        <v>76</v>
      </c>
      <c r="E92" s="351" t="s">
        <v>187</v>
      </c>
      <c r="F92" s="258" t="s">
        <v>2781</v>
      </c>
      <c r="G92" s="258" t="s">
        <v>68</v>
      </c>
      <c r="H92" s="259">
        <f t="shared" si="46"/>
        <v>250</v>
      </c>
      <c r="I92" s="259" t="s">
        <v>264</v>
      </c>
      <c r="J92" s="260">
        <v>100</v>
      </c>
      <c r="K92" s="260">
        <v>150</v>
      </c>
      <c r="L92" s="260"/>
      <c r="M92" s="260"/>
      <c r="N92" s="261">
        <f t="shared" si="50"/>
        <v>0</v>
      </c>
      <c r="O92" s="262"/>
      <c r="P92" s="262"/>
      <c r="Q92" s="262"/>
      <c r="R92" s="261">
        <f t="shared" si="51"/>
        <v>100</v>
      </c>
      <c r="S92" s="262">
        <v>100</v>
      </c>
      <c r="T92" s="262"/>
      <c r="U92" s="261">
        <f t="shared" si="52"/>
        <v>0</v>
      </c>
      <c r="V92" s="262"/>
      <c r="W92" s="262"/>
      <c r="X92" s="262"/>
      <c r="Y92" s="261">
        <f t="shared" si="53"/>
        <v>150</v>
      </c>
      <c r="Z92" s="262">
        <v>150</v>
      </c>
      <c r="AA92" s="262"/>
      <c r="AB92" s="261"/>
      <c r="AC92" s="263"/>
      <c r="AD92" s="264">
        <v>968003</v>
      </c>
      <c r="AE92" s="265">
        <f t="shared" si="54"/>
        <v>242000750</v>
      </c>
      <c r="AF92" s="266">
        <f t="shared" si="55"/>
        <v>96800300</v>
      </c>
      <c r="AG92" s="267">
        <f t="shared" si="56"/>
        <v>145200450</v>
      </c>
      <c r="AH92" s="268">
        <f t="shared" si="57"/>
        <v>0</v>
      </c>
      <c r="AI92" s="269">
        <f t="shared" si="49"/>
        <v>0</v>
      </c>
      <c r="AJ92" s="829" t="s">
        <v>4233</v>
      </c>
      <c r="AK92" s="916"/>
      <c r="AL92" s="916"/>
      <c r="AM92" s="915">
        <f t="shared" si="47"/>
        <v>250</v>
      </c>
      <c r="AN92" s="399"/>
    </row>
    <row r="93" spans="1:40" ht="405">
      <c r="A93" s="38">
        <v>78</v>
      </c>
      <c r="B93" s="258" t="s">
        <v>2782</v>
      </c>
      <c r="C93" s="258" t="s">
        <v>68</v>
      </c>
      <c r="D93" s="260">
        <v>77</v>
      </c>
      <c r="E93" s="351" t="s">
        <v>188</v>
      </c>
      <c r="F93" s="258" t="s">
        <v>2782</v>
      </c>
      <c r="G93" s="258" t="s">
        <v>68</v>
      </c>
      <c r="H93" s="259">
        <f t="shared" si="46"/>
        <v>1000</v>
      </c>
      <c r="I93" s="259" t="s">
        <v>261</v>
      </c>
      <c r="J93" s="260">
        <v>300</v>
      </c>
      <c r="K93" s="260">
        <v>400</v>
      </c>
      <c r="L93" s="260">
        <v>300</v>
      </c>
      <c r="M93" s="260"/>
      <c r="N93" s="261">
        <f t="shared" si="50"/>
        <v>200</v>
      </c>
      <c r="O93" s="262">
        <v>200</v>
      </c>
      <c r="P93" s="262"/>
      <c r="Q93" s="262"/>
      <c r="R93" s="261">
        <f t="shared" si="51"/>
        <v>200</v>
      </c>
      <c r="S93" s="262">
        <v>200</v>
      </c>
      <c r="T93" s="262"/>
      <c r="U93" s="261">
        <f t="shared" si="52"/>
        <v>300</v>
      </c>
      <c r="V93" s="262"/>
      <c r="W93" s="262"/>
      <c r="X93" s="262">
        <v>300</v>
      </c>
      <c r="Y93" s="261">
        <f t="shared" si="53"/>
        <v>300</v>
      </c>
      <c r="Z93" s="262">
        <v>200</v>
      </c>
      <c r="AA93" s="262">
        <v>100</v>
      </c>
      <c r="AB93" s="261"/>
      <c r="AC93" s="263"/>
      <c r="AD93" s="264">
        <v>377842</v>
      </c>
      <c r="AE93" s="265">
        <f t="shared" si="54"/>
        <v>377842000</v>
      </c>
      <c r="AF93" s="266">
        <f t="shared" si="55"/>
        <v>113352600</v>
      </c>
      <c r="AG93" s="267">
        <f t="shared" si="56"/>
        <v>151136800</v>
      </c>
      <c r="AH93" s="268">
        <f t="shared" si="57"/>
        <v>113352600</v>
      </c>
      <c r="AI93" s="269">
        <f t="shared" si="49"/>
        <v>0</v>
      </c>
      <c r="AJ93" s="829" t="s">
        <v>4233</v>
      </c>
      <c r="AK93" s="916"/>
      <c r="AL93" s="916"/>
      <c r="AM93" s="915">
        <f t="shared" si="47"/>
        <v>1000</v>
      </c>
      <c r="AN93" s="399"/>
    </row>
    <row r="94" spans="1:40" ht="303.75">
      <c r="A94" s="38">
        <v>79</v>
      </c>
      <c r="B94" s="258" t="s">
        <v>2783</v>
      </c>
      <c r="C94" s="258" t="s">
        <v>68</v>
      </c>
      <c r="D94" s="260">
        <v>78</v>
      </c>
      <c r="E94" s="351" t="s">
        <v>69</v>
      </c>
      <c r="F94" s="258" t="s">
        <v>2783</v>
      </c>
      <c r="G94" s="258" t="s">
        <v>68</v>
      </c>
      <c r="H94" s="259">
        <f t="shared" si="46"/>
        <v>1500</v>
      </c>
      <c r="I94" s="259" t="s">
        <v>207</v>
      </c>
      <c r="J94" s="260">
        <v>400</v>
      </c>
      <c r="K94" s="260">
        <v>600</v>
      </c>
      <c r="L94" s="260">
        <v>500</v>
      </c>
      <c r="M94" s="260"/>
      <c r="N94" s="261">
        <f t="shared" si="50"/>
        <v>300</v>
      </c>
      <c r="O94" s="262">
        <v>300</v>
      </c>
      <c r="P94" s="262"/>
      <c r="Q94" s="262"/>
      <c r="R94" s="261">
        <f t="shared" si="51"/>
        <v>300</v>
      </c>
      <c r="S94" s="262">
        <v>300</v>
      </c>
      <c r="T94" s="262"/>
      <c r="U94" s="261">
        <f t="shared" si="52"/>
        <v>300</v>
      </c>
      <c r="V94" s="262"/>
      <c r="W94" s="262"/>
      <c r="X94" s="262">
        <v>300</v>
      </c>
      <c r="Y94" s="261">
        <f t="shared" si="53"/>
        <v>600</v>
      </c>
      <c r="Z94" s="262">
        <v>600</v>
      </c>
      <c r="AA94" s="262"/>
      <c r="AB94" s="261"/>
      <c r="AC94" s="263"/>
      <c r="AD94" s="264">
        <v>271329</v>
      </c>
      <c r="AE94" s="265">
        <f t="shared" si="54"/>
        <v>406993500</v>
      </c>
      <c r="AF94" s="266">
        <f t="shared" si="55"/>
        <v>108531600</v>
      </c>
      <c r="AG94" s="267">
        <f t="shared" si="56"/>
        <v>162797400</v>
      </c>
      <c r="AH94" s="268">
        <f t="shared" si="57"/>
        <v>135664500</v>
      </c>
      <c r="AI94" s="269">
        <f t="shared" si="49"/>
        <v>0</v>
      </c>
      <c r="AJ94" s="829" t="s">
        <v>4233</v>
      </c>
      <c r="AK94" s="916"/>
      <c r="AL94" s="916"/>
      <c r="AM94" s="915">
        <f t="shared" si="47"/>
        <v>1500</v>
      </c>
      <c r="AN94" s="399"/>
    </row>
    <row r="95" spans="1:40" ht="243">
      <c r="A95" s="38">
        <v>80</v>
      </c>
      <c r="B95" s="258" t="s">
        <v>2784</v>
      </c>
      <c r="C95" s="258" t="s">
        <v>68</v>
      </c>
      <c r="D95" s="260">
        <v>79</v>
      </c>
      <c r="E95" s="351" t="s">
        <v>189</v>
      </c>
      <c r="F95" s="258" t="s">
        <v>2784</v>
      </c>
      <c r="G95" s="258" t="s">
        <v>68</v>
      </c>
      <c r="H95" s="259">
        <f t="shared" si="46"/>
        <v>700</v>
      </c>
      <c r="I95" s="259" t="s">
        <v>263</v>
      </c>
      <c r="J95" s="260">
        <v>100</v>
      </c>
      <c r="K95" s="260">
        <v>400</v>
      </c>
      <c r="L95" s="260">
        <v>200</v>
      </c>
      <c r="M95" s="260"/>
      <c r="N95" s="261">
        <f t="shared" si="50"/>
        <v>400</v>
      </c>
      <c r="O95" s="262">
        <v>200</v>
      </c>
      <c r="P95" s="262"/>
      <c r="Q95" s="262">
        <v>200</v>
      </c>
      <c r="R95" s="261">
        <f t="shared" si="51"/>
        <v>200</v>
      </c>
      <c r="S95" s="262">
        <v>100</v>
      </c>
      <c r="T95" s="262">
        <v>100</v>
      </c>
      <c r="U95" s="261">
        <f t="shared" si="52"/>
        <v>100</v>
      </c>
      <c r="V95" s="262"/>
      <c r="W95" s="262">
        <v>100</v>
      </c>
      <c r="X95" s="262"/>
      <c r="Y95" s="261">
        <f t="shared" si="53"/>
        <v>0</v>
      </c>
      <c r="Z95" s="262"/>
      <c r="AA95" s="262"/>
      <c r="AB95" s="261"/>
      <c r="AC95" s="263"/>
      <c r="AD95" s="264">
        <v>138723</v>
      </c>
      <c r="AE95" s="265">
        <f t="shared" si="54"/>
        <v>97106100</v>
      </c>
      <c r="AF95" s="266">
        <f t="shared" si="55"/>
        <v>13872300</v>
      </c>
      <c r="AG95" s="267">
        <f t="shared" si="56"/>
        <v>55489200</v>
      </c>
      <c r="AH95" s="268">
        <f t="shared" si="57"/>
        <v>27744600</v>
      </c>
      <c r="AI95" s="269">
        <f t="shared" si="49"/>
        <v>0</v>
      </c>
      <c r="AJ95" s="829" t="s">
        <v>4233</v>
      </c>
      <c r="AK95" s="916"/>
      <c r="AL95" s="916"/>
      <c r="AM95" s="915">
        <f t="shared" si="47"/>
        <v>700</v>
      </c>
      <c r="AN95" s="399"/>
    </row>
    <row r="96" spans="1:40" ht="283.5">
      <c r="A96" s="38">
        <v>81</v>
      </c>
      <c r="B96" s="258" t="s">
        <v>2785</v>
      </c>
      <c r="C96" s="258" t="s">
        <v>68</v>
      </c>
      <c r="D96" s="260">
        <v>80</v>
      </c>
      <c r="E96" s="351" t="s">
        <v>70</v>
      </c>
      <c r="F96" s="258" t="s">
        <v>2785</v>
      </c>
      <c r="G96" s="258" t="s">
        <v>68</v>
      </c>
      <c r="H96" s="259">
        <f t="shared" si="46"/>
        <v>1000</v>
      </c>
      <c r="I96" s="259" t="s">
        <v>262</v>
      </c>
      <c r="J96" s="260">
        <v>300</v>
      </c>
      <c r="K96" s="260">
        <v>400</v>
      </c>
      <c r="L96" s="260">
        <v>300</v>
      </c>
      <c r="M96" s="260"/>
      <c r="N96" s="261">
        <f t="shared" si="50"/>
        <v>0</v>
      </c>
      <c r="O96" s="262">
        <v>0</v>
      </c>
      <c r="P96" s="262">
        <v>0</v>
      </c>
      <c r="Q96" s="262">
        <v>0</v>
      </c>
      <c r="R96" s="261">
        <f t="shared" si="51"/>
        <v>0</v>
      </c>
      <c r="S96" s="262"/>
      <c r="T96" s="262"/>
      <c r="U96" s="261">
        <f t="shared" si="52"/>
        <v>700</v>
      </c>
      <c r="V96" s="262">
        <v>300</v>
      </c>
      <c r="W96" s="262">
        <v>400</v>
      </c>
      <c r="X96" s="262"/>
      <c r="Y96" s="261">
        <f t="shared" si="53"/>
        <v>250</v>
      </c>
      <c r="Z96" s="262">
        <v>200</v>
      </c>
      <c r="AA96" s="262">
        <v>50</v>
      </c>
      <c r="AB96" s="261">
        <v>50</v>
      </c>
      <c r="AC96" s="263"/>
      <c r="AD96" s="264">
        <v>23178</v>
      </c>
      <c r="AE96" s="265">
        <f t="shared" si="54"/>
        <v>23178000</v>
      </c>
      <c r="AF96" s="266">
        <f t="shared" si="55"/>
        <v>6953400</v>
      </c>
      <c r="AG96" s="267">
        <f t="shared" si="56"/>
        <v>9271200</v>
      </c>
      <c r="AH96" s="268">
        <f t="shared" si="57"/>
        <v>6953400</v>
      </c>
      <c r="AI96" s="269">
        <f t="shared" si="49"/>
        <v>0</v>
      </c>
      <c r="AJ96" s="829" t="s">
        <v>4233</v>
      </c>
      <c r="AK96" s="916"/>
      <c r="AL96" s="916"/>
      <c r="AM96" s="915">
        <f t="shared" si="47"/>
        <v>1000</v>
      </c>
      <c r="AN96" s="399"/>
    </row>
    <row r="97" spans="1:40" ht="182.25">
      <c r="A97" s="38">
        <v>82</v>
      </c>
      <c r="B97" s="258" t="s">
        <v>2786</v>
      </c>
      <c r="C97" s="258" t="s">
        <v>68</v>
      </c>
      <c r="D97" s="260">
        <v>81</v>
      </c>
      <c r="E97" s="351" t="s">
        <v>190</v>
      </c>
      <c r="F97" s="258" t="s">
        <v>2786</v>
      </c>
      <c r="G97" s="258" t="s">
        <v>68</v>
      </c>
      <c r="H97" s="259">
        <f t="shared" si="46"/>
        <v>400</v>
      </c>
      <c r="I97" s="259" t="s">
        <v>254</v>
      </c>
      <c r="J97" s="260">
        <v>100</v>
      </c>
      <c r="K97" s="260">
        <v>200</v>
      </c>
      <c r="L97" s="260">
        <v>100</v>
      </c>
      <c r="M97" s="260"/>
      <c r="N97" s="261">
        <f t="shared" si="50"/>
        <v>200</v>
      </c>
      <c r="O97" s="262">
        <v>100</v>
      </c>
      <c r="P97" s="262">
        <v>100</v>
      </c>
      <c r="Q97" s="262"/>
      <c r="R97" s="261">
        <f t="shared" si="51"/>
        <v>0</v>
      </c>
      <c r="S97" s="262"/>
      <c r="T97" s="262"/>
      <c r="U97" s="261">
        <f t="shared" si="52"/>
        <v>200</v>
      </c>
      <c r="V97" s="262"/>
      <c r="W97" s="262"/>
      <c r="X97" s="262">
        <v>200</v>
      </c>
      <c r="Y97" s="261">
        <f t="shared" si="53"/>
        <v>0</v>
      </c>
      <c r="Z97" s="262"/>
      <c r="AA97" s="262"/>
      <c r="AB97" s="261"/>
      <c r="AC97" s="263"/>
      <c r="AD97" s="264">
        <v>739202</v>
      </c>
      <c r="AE97" s="265">
        <f t="shared" si="54"/>
        <v>295680800</v>
      </c>
      <c r="AF97" s="266">
        <f t="shared" si="55"/>
        <v>73920200</v>
      </c>
      <c r="AG97" s="267">
        <f t="shared" si="56"/>
        <v>147840400</v>
      </c>
      <c r="AH97" s="268">
        <f t="shared" si="57"/>
        <v>73920200</v>
      </c>
      <c r="AI97" s="269">
        <f t="shared" si="49"/>
        <v>0</v>
      </c>
      <c r="AJ97" s="829" t="s">
        <v>4233</v>
      </c>
      <c r="AK97" s="916"/>
      <c r="AL97" s="916"/>
      <c r="AM97" s="915">
        <f t="shared" si="47"/>
        <v>400</v>
      </c>
      <c r="AN97" s="399"/>
    </row>
    <row r="98" spans="1:40" ht="283.5">
      <c r="A98" s="38">
        <v>83</v>
      </c>
      <c r="B98" s="258" t="s">
        <v>2787</v>
      </c>
      <c r="C98" s="258" t="s">
        <v>68</v>
      </c>
      <c r="D98" s="260">
        <v>82</v>
      </c>
      <c r="E98" s="351" t="s">
        <v>191</v>
      </c>
      <c r="F98" s="258" t="s">
        <v>2787</v>
      </c>
      <c r="G98" s="258" t="s">
        <v>68</v>
      </c>
      <c r="H98" s="259">
        <f t="shared" si="46"/>
        <v>500</v>
      </c>
      <c r="I98" s="259" t="s">
        <v>255</v>
      </c>
      <c r="J98" s="260">
        <v>150</v>
      </c>
      <c r="K98" s="260">
        <v>200</v>
      </c>
      <c r="L98" s="260">
        <v>150</v>
      </c>
      <c r="M98" s="260"/>
      <c r="N98" s="261">
        <f t="shared" si="50"/>
        <v>0</v>
      </c>
      <c r="O98" s="262">
        <v>0</v>
      </c>
      <c r="P98" s="262">
        <v>0</v>
      </c>
      <c r="Q98" s="262">
        <v>0</v>
      </c>
      <c r="R98" s="261">
        <f t="shared" si="51"/>
        <v>150</v>
      </c>
      <c r="S98" s="262">
        <v>100</v>
      </c>
      <c r="T98" s="262">
        <v>50</v>
      </c>
      <c r="U98" s="261">
        <f t="shared" si="52"/>
        <v>150</v>
      </c>
      <c r="V98" s="262"/>
      <c r="W98" s="262">
        <v>150</v>
      </c>
      <c r="X98" s="262"/>
      <c r="Y98" s="261">
        <f t="shared" si="53"/>
        <v>150</v>
      </c>
      <c r="Z98" s="262">
        <v>150</v>
      </c>
      <c r="AA98" s="262"/>
      <c r="AB98" s="261">
        <v>50</v>
      </c>
      <c r="AC98" s="263"/>
      <c r="AD98" s="264">
        <v>20000</v>
      </c>
      <c r="AE98" s="265">
        <f t="shared" si="54"/>
        <v>10000000</v>
      </c>
      <c r="AF98" s="266">
        <f t="shared" si="55"/>
        <v>3000000</v>
      </c>
      <c r="AG98" s="267">
        <f t="shared" si="56"/>
        <v>4000000</v>
      </c>
      <c r="AH98" s="268">
        <f t="shared" si="57"/>
        <v>3000000</v>
      </c>
      <c r="AI98" s="269">
        <f t="shared" si="49"/>
        <v>0</v>
      </c>
      <c r="AJ98" s="829" t="s">
        <v>4233</v>
      </c>
      <c r="AK98" s="916"/>
      <c r="AL98" s="916"/>
      <c r="AM98" s="915">
        <f t="shared" si="47"/>
        <v>500</v>
      </c>
      <c r="AN98" s="399"/>
    </row>
    <row r="99" spans="1:40" ht="141.75">
      <c r="A99" s="38">
        <v>84</v>
      </c>
      <c r="B99" s="258" t="s">
        <v>2788</v>
      </c>
      <c r="C99" s="258" t="s">
        <v>68</v>
      </c>
      <c r="D99" s="260">
        <v>83</v>
      </c>
      <c r="E99" s="351" t="s">
        <v>71</v>
      </c>
      <c r="F99" s="258" t="s">
        <v>2788</v>
      </c>
      <c r="G99" s="258" t="s">
        <v>68</v>
      </c>
      <c r="H99" s="259">
        <f t="shared" si="46"/>
        <v>1000</v>
      </c>
      <c r="I99" s="259" t="s">
        <v>253</v>
      </c>
      <c r="J99" s="260">
        <v>300</v>
      </c>
      <c r="K99" s="260">
        <v>400</v>
      </c>
      <c r="L99" s="260">
        <v>300</v>
      </c>
      <c r="M99" s="260"/>
      <c r="N99" s="261">
        <f t="shared" si="50"/>
        <v>0</v>
      </c>
      <c r="O99" s="262">
        <v>0</v>
      </c>
      <c r="P99" s="262">
        <v>0</v>
      </c>
      <c r="Q99" s="262">
        <v>0</v>
      </c>
      <c r="R99" s="261">
        <f t="shared" si="51"/>
        <v>0</v>
      </c>
      <c r="S99" s="262"/>
      <c r="T99" s="262"/>
      <c r="U99" s="261">
        <f t="shared" si="52"/>
        <v>1000</v>
      </c>
      <c r="V99" s="262"/>
      <c r="W99" s="262"/>
      <c r="X99" s="262">
        <v>1000</v>
      </c>
      <c r="Y99" s="261">
        <f t="shared" si="53"/>
        <v>0</v>
      </c>
      <c r="Z99" s="262"/>
      <c r="AA99" s="262"/>
      <c r="AB99" s="261"/>
      <c r="AC99" s="263"/>
      <c r="AD99" s="264">
        <v>89045</v>
      </c>
      <c r="AE99" s="265">
        <f t="shared" si="54"/>
        <v>89045000</v>
      </c>
      <c r="AF99" s="266">
        <f t="shared" si="55"/>
        <v>26713500</v>
      </c>
      <c r="AG99" s="267">
        <f t="shared" si="56"/>
        <v>35618000</v>
      </c>
      <c r="AH99" s="268">
        <f t="shared" si="57"/>
        <v>26713500</v>
      </c>
      <c r="AI99" s="269">
        <f t="shared" si="49"/>
        <v>0</v>
      </c>
      <c r="AJ99" s="829" t="s">
        <v>4233</v>
      </c>
      <c r="AK99" s="916"/>
      <c r="AL99" s="916"/>
      <c r="AM99" s="915">
        <f t="shared" si="47"/>
        <v>1000</v>
      </c>
      <c r="AN99" s="399"/>
    </row>
    <row r="100" spans="1:40" ht="162">
      <c r="A100" s="38">
        <v>85</v>
      </c>
      <c r="B100" s="258" t="s">
        <v>73</v>
      </c>
      <c r="C100" s="258" t="s">
        <v>68</v>
      </c>
      <c r="D100" s="260">
        <v>97</v>
      </c>
      <c r="E100" s="351" t="s">
        <v>72</v>
      </c>
      <c r="F100" s="258" t="s">
        <v>73</v>
      </c>
      <c r="G100" s="258" t="s">
        <v>68</v>
      </c>
      <c r="H100" s="258">
        <f>N100+R100+U100+Y100+AB100+AC100</f>
        <v>0</v>
      </c>
      <c r="I100" s="309"/>
      <c r="J100" s="260">
        <v>0</v>
      </c>
      <c r="K100" s="260">
        <v>0</v>
      </c>
      <c r="L100" s="260">
        <v>0</v>
      </c>
      <c r="M100" s="260">
        <v>0</v>
      </c>
      <c r="N100" s="261">
        <f t="shared" si="50"/>
        <v>0</v>
      </c>
      <c r="O100" s="262">
        <v>0</v>
      </c>
      <c r="P100" s="262">
        <v>0</v>
      </c>
      <c r="Q100" s="262">
        <v>0</v>
      </c>
      <c r="R100" s="261">
        <f t="shared" si="51"/>
        <v>0</v>
      </c>
      <c r="S100" s="262"/>
      <c r="T100" s="262"/>
      <c r="U100" s="261">
        <f t="shared" si="52"/>
        <v>0</v>
      </c>
      <c r="V100" s="262"/>
      <c r="W100" s="262"/>
      <c r="X100" s="262"/>
      <c r="Y100" s="261">
        <f t="shared" si="53"/>
        <v>0</v>
      </c>
      <c r="Z100" s="262"/>
      <c r="AA100" s="262"/>
      <c r="AB100" s="261"/>
      <c r="AC100" s="263"/>
      <c r="AD100" s="285"/>
      <c r="AE100" s="298"/>
      <c r="AF100" s="285"/>
      <c r="AG100" s="285"/>
      <c r="AH100" s="285"/>
      <c r="AI100" s="285"/>
      <c r="AJ100" s="285"/>
      <c r="AK100" s="916"/>
      <c r="AL100" s="916"/>
      <c r="AM100" s="915">
        <f t="shared" si="47"/>
        <v>0</v>
      </c>
      <c r="AN100" s="399"/>
    </row>
    <row r="101" spans="1:40" s="5" customFormat="1" ht="81">
      <c r="A101" s="895"/>
      <c r="B101" s="288" t="s">
        <v>75</v>
      </c>
      <c r="C101" s="288" t="s">
        <v>68</v>
      </c>
      <c r="D101" s="251">
        <v>13</v>
      </c>
      <c r="E101" s="359" t="s">
        <v>74</v>
      </c>
      <c r="F101" s="288" t="s">
        <v>75</v>
      </c>
      <c r="G101" s="288" t="s">
        <v>68</v>
      </c>
      <c r="H101" s="288">
        <f>H102+H103+H104+H105+H106</f>
        <v>6400</v>
      </c>
      <c r="I101" s="251">
        <f>J102+J103+J104+J105+J106</f>
        <v>1250</v>
      </c>
      <c r="J101" s="251">
        <f>J102+J103+J104+J105+J106</f>
        <v>1250</v>
      </c>
      <c r="K101" s="251">
        <f>K102+K103+K104+K105+K106</f>
        <v>2750</v>
      </c>
      <c r="L101" s="251">
        <f>L102+L103+L104+L105+L106</f>
        <v>2400</v>
      </c>
      <c r="M101" s="251">
        <f>M102+M103+M104+M105+M106</f>
        <v>0</v>
      </c>
      <c r="N101" s="251">
        <f>N102+N103+N104+N105++N106</f>
        <v>2750</v>
      </c>
      <c r="O101" s="251">
        <f t="shared" ref="O101:AC101" si="61">O102+O103+O104+O105++O106</f>
        <v>1000</v>
      </c>
      <c r="P101" s="251">
        <f t="shared" si="61"/>
        <v>750</v>
      </c>
      <c r="Q101" s="251">
        <f t="shared" si="61"/>
        <v>1000</v>
      </c>
      <c r="R101" s="251">
        <f t="shared" si="61"/>
        <v>800</v>
      </c>
      <c r="S101" s="251">
        <f t="shared" si="61"/>
        <v>800</v>
      </c>
      <c r="T101" s="251">
        <f t="shared" si="61"/>
        <v>0</v>
      </c>
      <c r="U101" s="251">
        <f t="shared" si="61"/>
        <v>1700</v>
      </c>
      <c r="V101" s="251">
        <f t="shared" si="61"/>
        <v>400</v>
      </c>
      <c r="W101" s="251">
        <f t="shared" si="61"/>
        <v>750</v>
      </c>
      <c r="X101" s="251">
        <f t="shared" si="61"/>
        <v>550</v>
      </c>
      <c r="Y101" s="251">
        <f t="shared" si="61"/>
        <v>1950</v>
      </c>
      <c r="Z101" s="251">
        <f t="shared" si="61"/>
        <v>1250</v>
      </c>
      <c r="AA101" s="251">
        <f t="shared" si="61"/>
        <v>700</v>
      </c>
      <c r="AB101" s="251">
        <f t="shared" si="61"/>
        <v>250</v>
      </c>
      <c r="AC101" s="252">
        <f t="shared" si="61"/>
        <v>0</v>
      </c>
      <c r="AD101" s="310"/>
      <c r="AE101" s="254">
        <f>SUM(AE102:AE106)</f>
        <v>576625000</v>
      </c>
      <c r="AF101" s="255">
        <f>SUM(AF102:AF106)</f>
        <v>74875000</v>
      </c>
      <c r="AG101" s="256">
        <f>SUM(AG102:AG106)</f>
        <v>255250000</v>
      </c>
      <c r="AH101" s="255">
        <f>SUM(AH102:AH106)</f>
        <v>246500000</v>
      </c>
      <c r="AI101" s="269">
        <f t="shared" ref="AI101:AJ155" si="62">AD101*M101</f>
        <v>0</v>
      </c>
      <c r="AJ101" s="827"/>
      <c r="AK101" s="916"/>
      <c r="AL101" s="916"/>
      <c r="AM101" s="915">
        <f t="shared" si="47"/>
        <v>6400</v>
      </c>
      <c r="AN101" s="399"/>
    </row>
    <row r="102" spans="1:40" ht="202.5">
      <c r="A102" s="38">
        <v>86</v>
      </c>
      <c r="B102" s="311" t="s">
        <v>77</v>
      </c>
      <c r="C102" s="311" t="s">
        <v>68</v>
      </c>
      <c r="D102" s="260">
        <v>84</v>
      </c>
      <c r="E102" s="351" t="s">
        <v>76</v>
      </c>
      <c r="F102" s="311" t="s">
        <v>77</v>
      </c>
      <c r="G102" s="311" t="s">
        <v>68</v>
      </c>
      <c r="H102" s="419">
        <v>1000</v>
      </c>
      <c r="I102" s="1104" t="s">
        <v>202</v>
      </c>
      <c r="J102" s="346"/>
      <c r="K102" s="346">
        <v>500</v>
      </c>
      <c r="L102" s="346">
        <v>500</v>
      </c>
      <c r="M102" s="260"/>
      <c r="N102" s="261">
        <f>O102+P102+Q102</f>
        <v>500</v>
      </c>
      <c r="O102" s="262">
        <v>250</v>
      </c>
      <c r="P102" s="262">
        <v>250</v>
      </c>
      <c r="Q102" s="262"/>
      <c r="R102" s="261">
        <f t="shared" si="51"/>
        <v>200</v>
      </c>
      <c r="S102" s="262">
        <v>200</v>
      </c>
      <c r="T102" s="262"/>
      <c r="U102" s="261">
        <f t="shared" si="52"/>
        <v>200</v>
      </c>
      <c r="V102" s="262"/>
      <c r="W102" s="262"/>
      <c r="X102" s="262">
        <v>200</v>
      </c>
      <c r="Y102" s="261">
        <f t="shared" si="53"/>
        <v>400</v>
      </c>
      <c r="Z102" s="262">
        <v>300</v>
      </c>
      <c r="AA102" s="262">
        <v>100</v>
      </c>
      <c r="AB102" s="261">
        <v>250</v>
      </c>
      <c r="AC102" s="263"/>
      <c r="AD102" s="264">
        <v>310000</v>
      </c>
      <c r="AE102" s="265">
        <f t="shared" ref="AE102:AE155" si="63">AD102*H102</f>
        <v>310000000</v>
      </c>
      <c r="AF102" s="266">
        <f t="shared" ref="AF102:AF160" si="64">AD102*J102</f>
        <v>0</v>
      </c>
      <c r="AG102" s="267">
        <f t="shared" ref="AG102:AG155" si="65">AD102*K102</f>
        <v>155000000</v>
      </c>
      <c r="AH102" s="268">
        <f t="shared" ref="AH102:AH155" si="66">AD102*L102</f>
        <v>155000000</v>
      </c>
      <c r="AI102" s="269">
        <f t="shared" si="62"/>
        <v>0</v>
      </c>
      <c r="AJ102" s="829" t="s">
        <v>4233</v>
      </c>
      <c r="AK102" s="916"/>
      <c r="AL102" s="916"/>
      <c r="AM102" s="915">
        <f t="shared" si="47"/>
        <v>1000</v>
      </c>
      <c r="AN102" s="399"/>
    </row>
    <row r="103" spans="1:40" ht="141.75">
      <c r="A103" s="38">
        <v>87</v>
      </c>
      <c r="B103" s="311" t="s">
        <v>79</v>
      </c>
      <c r="C103" s="311" t="s">
        <v>68</v>
      </c>
      <c r="D103" s="260">
        <v>85</v>
      </c>
      <c r="E103" s="351" t="s">
        <v>78</v>
      </c>
      <c r="F103" s="311" t="s">
        <v>79</v>
      </c>
      <c r="G103" s="311" t="s">
        <v>68</v>
      </c>
      <c r="H103" s="419">
        <v>1200</v>
      </c>
      <c r="I103" s="1105"/>
      <c r="J103" s="346">
        <v>400</v>
      </c>
      <c r="K103" s="346">
        <v>400</v>
      </c>
      <c r="L103" s="346">
        <v>400</v>
      </c>
      <c r="M103" s="260"/>
      <c r="N103" s="261">
        <f t="shared" si="50"/>
        <v>500</v>
      </c>
      <c r="O103" s="262">
        <v>250</v>
      </c>
      <c r="P103" s="262"/>
      <c r="Q103" s="262">
        <v>250</v>
      </c>
      <c r="R103" s="261">
        <f t="shared" si="51"/>
        <v>100</v>
      </c>
      <c r="S103" s="262">
        <v>100</v>
      </c>
      <c r="T103" s="262"/>
      <c r="U103" s="261">
        <f t="shared" si="52"/>
        <v>100</v>
      </c>
      <c r="V103" s="262"/>
      <c r="W103" s="262"/>
      <c r="X103" s="262">
        <v>100</v>
      </c>
      <c r="Y103" s="261">
        <f t="shared" si="53"/>
        <v>500</v>
      </c>
      <c r="Z103" s="262">
        <v>250</v>
      </c>
      <c r="AA103" s="262">
        <v>250</v>
      </c>
      <c r="AB103" s="261"/>
      <c r="AC103" s="263"/>
      <c r="AD103" s="264">
        <v>24000</v>
      </c>
      <c r="AE103" s="265">
        <f t="shared" si="63"/>
        <v>28800000</v>
      </c>
      <c r="AF103" s="266">
        <f t="shared" si="64"/>
        <v>9600000</v>
      </c>
      <c r="AG103" s="267">
        <f t="shared" si="65"/>
        <v>9600000</v>
      </c>
      <c r="AH103" s="268">
        <f t="shared" si="66"/>
        <v>9600000</v>
      </c>
      <c r="AI103" s="269">
        <f t="shared" si="62"/>
        <v>0</v>
      </c>
      <c r="AJ103" s="829" t="s">
        <v>4233</v>
      </c>
      <c r="AK103" s="916"/>
      <c r="AL103" s="916"/>
      <c r="AM103" s="915">
        <f t="shared" si="47"/>
        <v>1200</v>
      </c>
      <c r="AN103" s="399"/>
    </row>
    <row r="104" spans="1:40" ht="202.5">
      <c r="A104" s="38">
        <v>88</v>
      </c>
      <c r="B104" s="311" t="s">
        <v>81</v>
      </c>
      <c r="C104" s="311" t="s">
        <v>68</v>
      </c>
      <c r="D104" s="260">
        <v>86</v>
      </c>
      <c r="E104" s="351" t="s">
        <v>80</v>
      </c>
      <c r="F104" s="311" t="s">
        <v>81</v>
      </c>
      <c r="G104" s="311" t="s">
        <v>68</v>
      </c>
      <c r="H104" s="419">
        <v>1250</v>
      </c>
      <c r="I104" s="258" t="s">
        <v>82</v>
      </c>
      <c r="J104" s="346"/>
      <c r="K104" s="346">
        <v>750</v>
      </c>
      <c r="L104" s="346">
        <v>500</v>
      </c>
      <c r="M104" s="260"/>
      <c r="N104" s="261">
        <f t="shared" si="50"/>
        <v>750</v>
      </c>
      <c r="O104" s="262">
        <v>250</v>
      </c>
      <c r="P104" s="262">
        <v>250</v>
      </c>
      <c r="Q104" s="262">
        <v>250</v>
      </c>
      <c r="R104" s="261">
        <f t="shared" si="51"/>
        <v>250</v>
      </c>
      <c r="S104" s="262">
        <v>250</v>
      </c>
      <c r="T104" s="262"/>
      <c r="U104" s="261">
        <f t="shared" si="52"/>
        <v>450</v>
      </c>
      <c r="V104" s="262">
        <v>200</v>
      </c>
      <c r="W104" s="262">
        <v>250</v>
      </c>
      <c r="X104" s="262"/>
      <c r="Y104" s="261">
        <f t="shared" si="53"/>
        <v>300</v>
      </c>
      <c r="Z104" s="262">
        <v>200</v>
      </c>
      <c r="AA104" s="262">
        <v>100</v>
      </c>
      <c r="AB104" s="261"/>
      <c r="AC104" s="263"/>
      <c r="AD104" s="264">
        <v>8800</v>
      </c>
      <c r="AE104" s="265">
        <f t="shared" si="63"/>
        <v>11000000</v>
      </c>
      <c r="AF104" s="266">
        <f t="shared" si="64"/>
        <v>0</v>
      </c>
      <c r="AG104" s="267">
        <f t="shared" si="65"/>
        <v>6600000</v>
      </c>
      <c r="AH104" s="268">
        <f t="shared" si="66"/>
        <v>4400000</v>
      </c>
      <c r="AI104" s="269">
        <f t="shared" si="62"/>
        <v>0</v>
      </c>
      <c r="AJ104" s="829" t="s">
        <v>4233</v>
      </c>
      <c r="AK104" s="916"/>
      <c r="AL104" s="916"/>
      <c r="AM104" s="915">
        <f t="shared" si="47"/>
        <v>1250</v>
      </c>
      <c r="AN104" s="399"/>
    </row>
    <row r="105" spans="1:40" ht="81">
      <c r="A105" s="38">
        <v>89</v>
      </c>
      <c r="B105" s="258" t="s">
        <v>84</v>
      </c>
      <c r="C105" s="311" t="s">
        <v>68</v>
      </c>
      <c r="D105" s="260">
        <v>87</v>
      </c>
      <c r="E105" s="351" t="s">
        <v>83</v>
      </c>
      <c r="F105" s="258" t="s">
        <v>84</v>
      </c>
      <c r="G105" s="311" t="s">
        <v>68</v>
      </c>
      <c r="H105" s="419">
        <v>1550</v>
      </c>
      <c r="I105" s="1101" t="s">
        <v>192</v>
      </c>
      <c r="J105" s="346">
        <v>450</v>
      </c>
      <c r="K105" s="346">
        <v>600</v>
      </c>
      <c r="L105" s="346">
        <v>500</v>
      </c>
      <c r="M105" s="260"/>
      <c r="N105" s="261">
        <f t="shared" si="50"/>
        <v>500</v>
      </c>
      <c r="O105" s="262"/>
      <c r="P105" s="262">
        <v>250</v>
      </c>
      <c r="Q105" s="262">
        <v>250</v>
      </c>
      <c r="R105" s="261">
        <f t="shared" si="51"/>
        <v>150</v>
      </c>
      <c r="S105" s="262">
        <v>150</v>
      </c>
      <c r="T105" s="262"/>
      <c r="U105" s="261">
        <f t="shared" si="52"/>
        <v>500</v>
      </c>
      <c r="V105" s="262"/>
      <c r="W105" s="262">
        <v>250</v>
      </c>
      <c r="X105" s="262">
        <v>250</v>
      </c>
      <c r="Y105" s="261">
        <f t="shared" si="53"/>
        <v>400</v>
      </c>
      <c r="Z105" s="262">
        <v>300</v>
      </c>
      <c r="AA105" s="262">
        <v>100</v>
      </c>
      <c r="AB105" s="261"/>
      <c r="AC105" s="263"/>
      <c r="AD105" s="264">
        <v>65500</v>
      </c>
      <c r="AE105" s="265">
        <f t="shared" si="63"/>
        <v>101525000</v>
      </c>
      <c r="AF105" s="266">
        <f t="shared" si="64"/>
        <v>29475000</v>
      </c>
      <c r="AG105" s="267">
        <f t="shared" si="65"/>
        <v>39300000</v>
      </c>
      <c r="AH105" s="268">
        <f t="shared" si="66"/>
        <v>32750000</v>
      </c>
      <c r="AI105" s="269">
        <f t="shared" si="62"/>
        <v>0</v>
      </c>
      <c r="AJ105" s="829" t="s">
        <v>4233</v>
      </c>
      <c r="AK105" s="916"/>
      <c r="AL105" s="916"/>
      <c r="AM105" s="915">
        <f t="shared" si="47"/>
        <v>1550</v>
      </c>
      <c r="AN105" s="399"/>
    </row>
    <row r="106" spans="1:40" ht="101.25">
      <c r="A106" s="38">
        <v>90</v>
      </c>
      <c r="B106" s="258" t="s">
        <v>86</v>
      </c>
      <c r="C106" s="311" t="s">
        <v>68</v>
      </c>
      <c r="D106" s="260">
        <v>88</v>
      </c>
      <c r="E106" s="351" t="s">
        <v>85</v>
      </c>
      <c r="F106" s="258" t="s">
        <v>86</v>
      </c>
      <c r="G106" s="311" t="s">
        <v>68</v>
      </c>
      <c r="H106" s="258">
        <f t="shared" ref="H106:H155" si="67">N106+R106+U106+Y106+AB106+AC106</f>
        <v>1400</v>
      </c>
      <c r="I106" s="1103"/>
      <c r="J106" s="346">
        <v>400</v>
      </c>
      <c r="K106" s="346">
        <v>500</v>
      </c>
      <c r="L106" s="346">
        <v>500</v>
      </c>
      <c r="M106" s="260"/>
      <c r="N106" s="261">
        <f t="shared" si="50"/>
        <v>500</v>
      </c>
      <c r="O106" s="262">
        <v>250</v>
      </c>
      <c r="P106" s="262"/>
      <c r="Q106" s="262">
        <v>250</v>
      </c>
      <c r="R106" s="261">
        <f t="shared" si="51"/>
        <v>100</v>
      </c>
      <c r="S106" s="262">
        <v>100</v>
      </c>
      <c r="T106" s="262"/>
      <c r="U106" s="261">
        <f t="shared" si="52"/>
        <v>450</v>
      </c>
      <c r="V106" s="262">
        <v>200</v>
      </c>
      <c r="W106" s="262">
        <v>250</v>
      </c>
      <c r="X106" s="262"/>
      <c r="Y106" s="261">
        <f t="shared" si="53"/>
        <v>350</v>
      </c>
      <c r="Z106" s="262">
        <v>200</v>
      </c>
      <c r="AA106" s="262">
        <v>150</v>
      </c>
      <c r="AB106" s="261"/>
      <c r="AC106" s="263"/>
      <c r="AD106" s="264">
        <v>89500</v>
      </c>
      <c r="AE106" s="265">
        <f t="shared" si="63"/>
        <v>125300000</v>
      </c>
      <c r="AF106" s="266">
        <f t="shared" si="64"/>
        <v>35800000</v>
      </c>
      <c r="AG106" s="267">
        <f t="shared" si="65"/>
        <v>44750000</v>
      </c>
      <c r="AH106" s="268">
        <f t="shared" si="66"/>
        <v>44750000</v>
      </c>
      <c r="AI106" s="269">
        <f t="shared" si="62"/>
        <v>0</v>
      </c>
      <c r="AJ106" s="829" t="s">
        <v>4233</v>
      </c>
      <c r="AK106" s="916"/>
      <c r="AL106" s="916"/>
      <c r="AM106" s="915">
        <f t="shared" si="47"/>
        <v>1400</v>
      </c>
      <c r="AN106" s="399"/>
    </row>
    <row r="107" spans="1:40" s="7" customFormat="1" ht="60.75">
      <c r="A107" s="898"/>
      <c r="B107" s="312" t="s">
        <v>88</v>
      </c>
      <c r="C107" s="312" t="s">
        <v>89</v>
      </c>
      <c r="D107" s="360">
        <v>14</v>
      </c>
      <c r="E107" s="361" t="s">
        <v>87</v>
      </c>
      <c r="F107" s="312" t="s">
        <v>88</v>
      </c>
      <c r="G107" s="312" t="s">
        <v>89</v>
      </c>
      <c r="H107" s="313">
        <f t="shared" si="67"/>
        <v>10.5</v>
      </c>
      <c r="I107" s="314"/>
      <c r="J107" s="250">
        <f>J108+J109+J110</f>
        <v>2.5</v>
      </c>
      <c r="K107" s="250">
        <f t="shared" ref="K107:AC107" si="68">K108+K109+K110</f>
        <v>4.5</v>
      </c>
      <c r="L107" s="250">
        <f t="shared" si="68"/>
        <v>3.5</v>
      </c>
      <c r="M107" s="250">
        <f t="shared" si="68"/>
        <v>0</v>
      </c>
      <c r="N107" s="315">
        <f t="shared" si="68"/>
        <v>2</v>
      </c>
      <c r="O107" s="315">
        <f t="shared" si="68"/>
        <v>1</v>
      </c>
      <c r="P107" s="315">
        <f t="shared" si="68"/>
        <v>1</v>
      </c>
      <c r="Q107" s="315">
        <f t="shared" si="68"/>
        <v>0</v>
      </c>
      <c r="R107" s="315">
        <f t="shared" si="68"/>
        <v>2.5</v>
      </c>
      <c r="S107" s="315">
        <f t="shared" si="68"/>
        <v>1.5</v>
      </c>
      <c r="T107" s="315">
        <f t="shared" si="68"/>
        <v>1</v>
      </c>
      <c r="U107" s="315">
        <f t="shared" si="68"/>
        <v>1</v>
      </c>
      <c r="V107" s="315">
        <f t="shared" si="68"/>
        <v>0.5</v>
      </c>
      <c r="W107" s="315">
        <f t="shared" si="68"/>
        <v>0</v>
      </c>
      <c r="X107" s="315">
        <f t="shared" si="68"/>
        <v>0.5</v>
      </c>
      <c r="Y107" s="315">
        <f t="shared" si="68"/>
        <v>4</v>
      </c>
      <c r="Z107" s="315">
        <f t="shared" si="68"/>
        <v>3</v>
      </c>
      <c r="AA107" s="315">
        <f t="shared" si="68"/>
        <v>1</v>
      </c>
      <c r="AB107" s="315">
        <f t="shared" si="68"/>
        <v>1</v>
      </c>
      <c r="AC107" s="316">
        <f t="shared" si="68"/>
        <v>0</v>
      </c>
      <c r="AD107" s="317"/>
      <c r="AE107" s="254">
        <f>SUM(AE108:AE110)</f>
        <v>904840207.5</v>
      </c>
      <c r="AF107" s="255">
        <f>SUM(AF108:AF110)</f>
        <v>211804000</v>
      </c>
      <c r="AG107" s="256">
        <f>SUM(AG108:AG110)</f>
        <v>393286578</v>
      </c>
      <c r="AH107" s="255">
        <f>SUM(AH108:AH110)</f>
        <v>299749629.5</v>
      </c>
      <c r="AI107" s="274">
        <f t="shared" si="62"/>
        <v>0</v>
      </c>
      <c r="AJ107" s="829"/>
      <c r="AK107" s="987"/>
      <c r="AL107" s="987"/>
      <c r="AM107" s="915">
        <f t="shared" si="47"/>
        <v>10.5</v>
      </c>
      <c r="AN107" s="399"/>
    </row>
    <row r="108" spans="1:40" ht="283.5">
      <c r="A108" s="38">
        <v>91</v>
      </c>
      <c r="B108" s="258" t="s">
        <v>2789</v>
      </c>
      <c r="C108" s="258" t="s">
        <v>89</v>
      </c>
      <c r="D108" s="260">
        <v>89</v>
      </c>
      <c r="E108" s="351" t="s">
        <v>90</v>
      </c>
      <c r="F108" s="258" t="s">
        <v>2789</v>
      </c>
      <c r="G108" s="258" t="s">
        <v>89</v>
      </c>
      <c r="H108" s="258">
        <f t="shared" si="67"/>
        <v>5</v>
      </c>
      <c r="I108" s="1113" t="s">
        <v>269</v>
      </c>
      <c r="J108" s="260">
        <v>1.5</v>
      </c>
      <c r="K108" s="260">
        <v>2</v>
      </c>
      <c r="L108" s="260">
        <v>1.5</v>
      </c>
      <c r="M108" s="260"/>
      <c r="N108" s="261">
        <f t="shared" si="50"/>
        <v>2</v>
      </c>
      <c r="O108" s="262">
        <v>1</v>
      </c>
      <c r="P108" s="262">
        <v>1</v>
      </c>
      <c r="Q108" s="262"/>
      <c r="R108" s="261">
        <f t="shared" si="51"/>
        <v>2</v>
      </c>
      <c r="S108" s="262">
        <v>1</v>
      </c>
      <c r="T108" s="262">
        <v>1</v>
      </c>
      <c r="U108" s="261">
        <f t="shared" si="52"/>
        <v>0</v>
      </c>
      <c r="V108" s="262"/>
      <c r="W108" s="262"/>
      <c r="X108" s="262"/>
      <c r="Y108" s="261">
        <f t="shared" si="53"/>
        <v>0</v>
      </c>
      <c r="Z108" s="262"/>
      <c r="AA108" s="262"/>
      <c r="AB108" s="261">
        <v>1</v>
      </c>
      <c r="AC108" s="263"/>
      <c r="AD108" s="264">
        <v>82572247</v>
      </c>
      <c r="AE108" s="265">
        <f t="shared" si="63"/>
        <v>412861235</v>
      </c>
      <c r="AF108" s="266">
        <f t="shared" si="64"/>
        <v>123858370.5</v>
      </c>
      <c r="AG108" s="267">
        <f t="shared" si="65"/>
        <v>165144494</v>
      </c>
      <c r="AH108" s="268">
        <f t="shared" si="66"/>
        <v>123858370.5</v>
      </c>
      <c r="AI108" s="269">
        <f t="shared" si="62"/>
        <v>0</v>
      </c>
      <c r="AJ108" s="829" t="s">
        <v>4233</v>
      </c>
      <c r="AK108" s="916" t="s">
        <v>4736</v>
      </c>
      <c r="AL108" s="916">
        <v>1.35</v>
      </c>
      <c r="AM108" s="915">
        <f t="shared" si="47"/>
        <v>3.65</v>
      </c>
      <c r="AN108" s="399">
        <v>90448650</v>
      </c>
    </row>
    <row r="109" spans="1:40" ht="222.75">
      <c r="A109" s="38">
        <v>92</v>
      </c>
      <c r="B109" s="258" t="s">
        <v>2790</v>
      </c>
      <c r="C109" s="258" t="s">
        <v>89</v>
      </c>
      <c r="D109" s="260">
        <v>90</v>
      </c>
      <c r="E109" s="351" t="s">
        <v>91</v>
      </c>
      <c r="F109" s="258" t="s">
        <v>2790</v>
      </c>
      <c r="G109" s="258" t="s">
        <v>89</v>
      </c>
      <c r="H109" s="258">
        <f t="shared" si="67"/>
        <v>2.5</v>
      </c>
      <c r="I109" s="1114"/>
      <c r="J109" s="260">
        <v>0.5</v>
      </c>
      <c r="K109" s="260">
        <v>1</v>
      </c>
      <c r="L109" s="260">
        <v>1</v>
      </c>
      <c r="M109" s="260"/>
      <c r="N109" s="261">
        <f t="shared" si="50"/>
        <v>0</v>
      </c>
      <c r="O109" s="262">
        <v>0</v>
      </c>
      <c r="P109" s="262">
        <v>0</v>
      </c>
      <c r="Q109" s="262">
        <v>0</v>
      </c>
      <c r="R109" s="261">
        <f t="shared" si="51"/>
        <v>0.5</v>
      </c>
      <c r="S109" s="262">
        <v>0.5</v>
      </c>
      <c r="T109" s="262"/>
      <c r="U109" s="261">
        <f t="shared" si="52"/>
        <v>1</v>
      </c>
      <c r="V109" s="262">
        <v>0.5</v>
      </c>
      <c r="W109" s="262"/>
      <c r="X109" s="262">
        <v>0.5</v>
      </c>
      <c r="Y109" s="261">
        <f t="shared" si="53"/>
        <v>1</v>
      </c>
      <c r="Z109" s="262">
        <v>1</v>
      </c>
      <c r="AA109" s="262"/>
      <c r="AB109" s="261"/>
      <c r="AC109" s="263"/>
      <c r="AD109" s="264">
        <v>71389609</v>
      </c>
      <c r="AE109" s="265">
        <f t="shared" si="63"/>
        <v>178474022.5</v>
      </c>
      <c r="AF109" s="266">
        <f t="shared" si="64"/>
        <v>35694804.5</v>
      </c>
      <c r="AG109" s="267">
        <f t="shared" si="65"/>
        <v>71389609</v>
      </c>
      <c r="AH109" s="268">
        <f t="shared" si="66"/>
        <v>71389609</v>
      </c>
      <c r="AI109" s="269">
        <f t="shared" si="62"/>
        <v>0</v>
      </c>
      <c r="AJ109" s="829" t="s">
        <v>4233</v>
      </c>
      <c r="AK109" s="916" t="s">
        <v>4735</v>
      </c>
      <c r="AL109" s="916">
        <v>1.5</v>
      </c>
      <c r="AM109" s="915">
        <f t="shared" si="47"/>
        <v>1</v>
      </c>
      <c r="AN109" s="399">
        <v>107931600</v>
      </c>
    </row>
    <row r="110" spans="1:40" ht="243">
      <c r="A110" s="38">
        <v>93</v>
      </c>
      <c r="B110" s="258" t="s">
        <v>2791</v>
      </c>
      <c r="C110" s="258" t="s">
        <v>89</v>
      </c>
      <c r="D110" s="260">
        <v>91</v>
      </c>
      <c r="E110" s="351" t="s">
        <v>92</v>
      </c>
      <c r="F110" s="258" t="s">
        <v>2791</v>
      </c>
      <c r="G110" s="258" t="s">
        <v>89</v>
      </c>
      <c r="H110" s="258">
        <f t="shared" si="67"/>
        <v>3</v>
      </c>
      <c r="I110" s="1115"/>
      <c r="J110" s="260">
        <v>0.5</v>
      </c>
      <c r="K110" s="260">
        <v>1.5</v>
      </c>
      <c r="L110" s="260">
        <v>1</v>
      </c>
      <c r="M110" s="260"/>
      <c r="N110" s="261">
        <f t="shared" si="50"/>
        <v>0</v>
      </c>
      <c r="O110" s="262">
        <v>0</v>
      </c>
      <c r="P110" s="262">
        <v>0</v>
      </c>
      <c r="Q110" s="262">
        <v>0</v>
      </c>
      <c r="R110" s="261">
        <f t="shared" si="51"/>
        <v>0</v>
      </c>
      <c r="S110" s="262"/>
      <c r="T110" s="262"/>
      <c r="U110" s="261">
        <f t="shared" si="52"/>
        <v>0</v>
      </c>
      <c r="V110" s="262"/>
      <c r="W110" s="262"/>
      <c r="X110" s="262"/>
      <c r="Y110" s="261">
        <f t="shared" si="53"/>
        <v>3</v>
      </c>
      <c r="Z110" s="262">
        <v>2</v>
      </c>
      <c r="AA110" s="262">
        <v>1</v>
      </c>
      <c r="AB110" s="261"/>
      <c r="AC110" s="263"/>
      <c r="AD110" s="264">
        <v>104501650</v>
      </c>
      <c r="AE110" s="265">
        <f t="shared" si="63"/>
        <v>313504950</v>
      </c>
      <c r="AF110" s="266">
        <f t="shared" si="64"/>
        <v>52250825</v>
      </c>
      <c r="AG110" s="267">
        <f t="shared" si="65"/>
        <v>156752475</v>
      </c>
      <c r="AH110" s="268">
        <f t="shared" si="66"/>
        <v>104501650</v>
      </c>
      <c r="AI110" s="269">
        <f t="shared" si="62"/>
        <v>0</v>
      </c>
      <c r="AJ110" s="829" t="s">
        <v>4233</v>
      </c>
      <c r="AK110" s="916" t="s">
        <v>4737</v>
      </c>
      <c r="AL110" s="916">
        <v>2.5</v>
      </c>
      <c r="AM110" s="915">
        <f t="shared" si="47"/>
        <v>0.5</v>
      </c>
      <c r="AN110" s="399">
        <v>237503750</v>
      </c>
    </row>
    <row r="111" spans="1:40" ht="81">
      <c r="A111" s="38"/>
      <c r="B111" s="312" t="s">
        <v>94</v>
      </c>
      <c r="C111" s="312" t="s">
        <v>126</v>
      </c>
      <c r="D111" s="360">
        <v>15</v>
      </c>
      <c r="E111" s="362" t="s">
        <v>93</v>
      </c>
      <c r="F111" s="312" t="s">
        <v>94</v>
      </c>
      <c r="G111" s="312" t="s">
        <v>126</v>
      </c>
      <c r="H111" s="248">
        <f>H112+H113+H114+H115+H116+H117</f>
        <v>3404</v>
      </c>
      <c r="I111" s="314"/>
      <c r="J111" s="250">
        <f>J112+J113+J114+J115+J116+J117</f>
        <v>966</v>
      </c>
      <c r="K111" s="250">
        <f t="shared" ref="K111:AC111" si="69">K112+K113+K114+K115+K116+K117</f>
        <v>1309</v>
      </c>
      <c r="L111" s="250">
        <f t="shared" si="69"/>
        <v>1129</v>
      </c>
      <c r="M111" s="250">
        <f t="shared" si="69"/>
        <v>0</v>
      </c>
      <c r="N111" s="251">
        <f t="shared" si="69"/>
        <v>756</v>
      </c>
      <c r="O111" s="251">
        <f t="shared" si="69"/>
        <v>270</v>
      </c>
      <c r="P111" s="251">
        <f t="shared" si="69"/>
        <v>270</v>
      </c>
      <c r="Q111" s="251">
        <f t="shared" si="69"/>
        <v>216</v>
      </c>
      <c r="R111" s="251">
        <f t="shared" si="69"/>
        <v>696</v>
      </c>
      <c r="S111" s="251">
        <f t="shared" si="69"/>
        <v>500</v>
      </c>
      <c r="T111" s="251">
        <f t="shared" si="69"/>
        <v>196</v>
      </c>
      <c r="U111" s="251">
        <f t="shared" si="69"/>
        <v>806</v>
      </c>
      <c r="V111" s="251">
        <f t="shared" si="69"/>
        <v>320</v>
      </c>
      <c r="W111" s="251">
        <f t="shared" si="69"/>
        <v>240</v>
      </c>
      <c r="X111" s="251">
        <f t="shared" si="69"/>
        <v>246</v>
      </c>
      <c r="Y111" s="251">
        <f t="shared" si="69"/>
        <v>1196</v>
      </c>
      <c r="Z111" s="251">
        <f t="shared" si="69"/>
        <v>970</v>
      </c>
      <c r="AA111" s="251">
        <f t="shared" si="69"/>
        <v>226</v>
      </c>
      <c r="AB111" s="251">
        <f t="shared" si="69"/>
        <v>50</v>
      </c>
      <c r="AC111" s="252">
        <f t="shared" si="69"/>
        <v>0</v>
      </c>
      <c r="AD111" s="317"/>
      <c r="AE111" s="254">
        <f>SUM(AE112:AE117)</f>
        <v>565203400</v>
      </c>
      <c r="AF111" s="255">
        <f>SUM(AF112:AF117)</f>
        <v>80977980</v>
      </c>
      <c r="AG111" s="256">
        <f>SUM(AG112:AG117)</f>
        <v>100237000</v>
      </c>
      <c r="AH111" s="255">
        <f>SUM(AH112:AH117)</f>
        <v>383988420</v>
      </c>
      <c r="AI111" s="274">
        <f t="shared" si="62"/>
        <v>0</v>
      </c>
      <c r="AJ111" s="828"/>
      <c r="AK111" s="916"/>
      <c r="AL111" s="916"/>
      <c r="AM111" s="915">
        <f t="shared" si="47"/>
        <v>3404</v>
      </c>
      <c r="AN111" s="399"/>
    </row>
    <row r="112" spans="1:40" ht="162">
      <c r="A112" s="38">
        <v>94</v>
      </c>
      <c r="B112" s="311" t="s">
        <v>2792</v>
      </c>
      <c r="C112" s="311" t="s">
        <v>126</v>
      </c>
      <c r="D112" s="260">
        <v>92</v>
      </c>
      <c r="E112" s="351" t="s">
        <v>193</v>
      </c>
      <c r="F112" s="311" t="s">
        <v>2792</v>
      </c>
      <c r="G112" s="311" t="s">
        <v>126</v>
      </c>
      <c r="H112" s="258">
        <f t="shared" si="67"/>
        <v>600</v>
      </c>
      <c r="I112" s="318" t="s">
        <v>95</v>
      </c>
      <c r="J112" s="346">
        <v>200</v>
      </c>
      <c r="K112" s="346">
        <v>200</v>
      </c>
      <c r="L112" s="346">
        <v>200</v>
      </c>
      <c r="M112" s="260"/>
      <c r="N112" s="261">
        <f t="shared" si="50"/>
        <v>240</v>
      </c>
      <c r="O112" s="262">
        <v>80</v>
      </c>
      <c r="P112" s="262">
        <v>80</v>
      </c>
      <c r="Q112" s="262">
        <v>80</v>
      </c>
      <c r="R112" s="261">
        <f t="shared" si="51"/>
        <v>40</v>
      </c>
      <c r="S112" s="262">
        <v>40</v>
      </c>
      <c r="T112" s="262"/>
      <c r="U112" s="261">
        <f t="shared" si="52"/>
        <v>60</v>
      </c>
      <c r="V112" s="262"/>
      <c r="W112" s="262"/>
      <c r="X112" s="262">
        <v>60</v>
      </c>
      <c r="Y112" s="261">
        <f t="shared" si="53"/>
        <v>240</v>
      </c>
      <c r="Z112" s="262">
        <v>240</v>
      </c>
      <c r="AA112" s="262"/>
      <c r="AB112" s="261">
        <v>20</v>
      </c>
      <c r="AC112" s="263"/>
      <c r="AD112" s="264">
        <v>100000</v>
      </c>
      <c r="AE112" s="265">
        <f t="shared" si="63"/>
        <v>60000000</v>
      </c>
      <c r="AF112" s="266">
        <f t="shared" si="64"/>
        <v>20000000</v>
      </c>
      <c r="AG112" s="267">
        <f t="shared" si="65"/>
        <v>20000000</v>
      </c>
      <c r="AH112" s="268">
        <f t="shared" si="66"/>
        <v>20000000</v>
      </c>
      <c r="AI112" s="269">
        <f t="shared" si="62"/>
        <v>0</v>
      </c>
      <c r="AJ112" s="827" t="s">
        <v>4228</v>
      </c>
      <c r="AK112" s="916" t="s">
        <v>4825</v>
      </c>
      <c r="AL112" s="916">
        <f>180+200</f>
        <v>380</v>
      </c>
      <c r="AM112" s="915">
        <f t="shared" si="47"/>
        <v>220</v>
      </c>
      <c r="AN112" s="399">
        <f>11281140+14300000</f>
        <v>25581140</v>
      </c>
    </row>
    <row r="113" spans="1:40" ht="141.75">
      <c r="A113" s="38">
        <v>95</v>
      </c>
      <c r="B113" s="258" t="s">
        <v>2793</v>
      </c>
      <c r="C113" s="311" t="s">
        <v>126</v>
      </c>
      <c r="D113" s="260">
        <v>93</v>
      </c>
      <c r="E113" s="351" t="s">
        <v>174</v>
      </c>
      <c r="F113" s="258" t="s">
        <v>2793</v>
      </c>
      <c r="G113" s="311" t="s">
        <v>126</v>
      </c>
      <c r="H113" s="258">
        <f t="shared" si="67"/>
        <v>24</v>
      </c>
      <c r="I113" s="318" t="s">
        <v>213</v>
      </c>
      <c r="J113" s="346">
        <v>6</v>
      </c>
      <c r="K113" s="346">
        <v>9</v>
      </c>
      <c r="L113" s="346">
        <v>9</v>
      </c>
      <c r="M113" s="260"/>
      <c r="N113" s="261">
        <f t="shared" si="50"/>
        <v>6</v>
      </c>
      <c r="O113" s="262"/>
      <c r="P113" s="262"/>
      <c r="Q113" s="262">
        <v>6</v>
      </c>
      <c r="R113" s="261">
        <f t="shared" si="51"/>
        <v>6</v>
      </c>
      <c r="S113" s="262"/>
      <c r="T113" s="262">
        <v>6</v>
      </c>
      <c r="U113" s="261">
        <f t="shared" si="52"/>
        <v>6</v>
      </c>
      <c r="V113" s="262"/>
      <c r="W113" s="262"/>
      <c r="X113" s="262">
        <v>6</v>
      </c>
      <c r="Y113" s="261">
        <f t="shared" si="53"/>
        <v>6</v>
      </c>
      <c r="Z113" s="262"/>
      <c r="AA113" s="262">
        <v>6</v>
      </c>
      <c r="AB113" s="261"/>
      <c r="AC113" s="263"/>
      <c r="AD113" s="264">
        <v>590000</v>
      </c>
      <c r="AE113" s="265">
        <f t="shared" si="63"/>
        <v>14160000</v>
      </c>
      <c r="AF113" s="266">
        <f t="shared" si="64"/>
        <v>3540000</v>
      </c>
      <c r="AG113" s="267">
        <f t="shared" si="65"/>
        <v>5310000</v>
      </c>
      <c r="AH113" s="268">
        <f t="shared" si="66"/>
        <v>5310000</v>
      </c>
      <c r="AI113" s="269">
        <f t="shared" si="62"/>
        <v>0</v>
      </c>
      <c r="AJ113" s="827" t="s">
        <v>4228</v>
      </c>
      <c r="AK113" s="916" t="s">
        <v>4734</v>
      </c>
      <c r="AL113" s="916">
        <v>9</v>
      </c>
      <c r="AM113" s="915">
        <f t="shared" si="47"/>
        <v>15</v>
      </c>
      <c r="AN113" s="399">
        <v>1924650</v>
      </c>
    </row>
    <row r="114" spans="1:40" ht="222.75">
      <c r="A114" s="38">
        <v>96</v>
      </c>
      <c r="B114" s="258" t="s">
        <v>96</v>
      </c>
      <c r="C114" s="311" t="s">
        <v>126</v>
      </c>
      <c r="D114" s="260">
        <v>94</v>
      </c>
      <c r="E114" s="351" t="s">
        <v>175</v>
      </c>
      <c r="F114" s="258" t="s">
        <v>96</v>
      </c>
      <c r="G114" s="311" t="s">
        <v>126</v>
      </c>
      <c r="H114" s="258">
        <f t="shared" si="67"/>
        <v>1700</v>
      </c>
      <c r="I114" s="318" t="s">
        <v>194</v>
      </c>
      <c r="J114" s="346">
        <v>500</v>
      </c>
      <c r="K114" s="346">
        <v>700</v>
      </c>
      <c r="L114" s="346">
        <v>500</v>
      </c>
      <c r="M114" s="260"/>
      <c r="N114" s="261">
        <f t="shared" si="50"/>
        <v>240</v>
      </c>
      <c r="O114" s="262">
        <v>80</v>
      </c>
      <c r="P114" s="262">
        <v>80</v>
      </c>
      <c r="Q114" s="262">
        <v>80</v>
      </c>
      <c r="R114" s="261">
        <f t="shared" si="51"/>
        <v>390</v>
      </c>
      <c r="S114" s="262">
        <v>200</v>
      </c>
      <c r="T114" s="262">
        <v>190</v>
      </c>
      <c r="U114" s="261">
        <f t="shared" si="52"/>
        <v>420</v>
      </c>
      <c r="V114" s="262">
        <v>180</v>
      </c>
      <c r="W114" s="262">
        <v>120</v>
      </c>
      <c r="X114" s="262">
        <v>120</v>
      </c>
      <c r="Y114" s="261">
        <f t="shared" si="53"/>
        <v>640</v>
      </c>
      <c r="Z114" s="262">
        <v>480</v>
      </c>
      <c r="AA114" s="262">
        <v>160</v>
      </c>
      <c r="AB114" s="261">
        <v>10</v>
      </c>
      <c r="AC114" s="263"/>
      <c r="AD114" s="264">
        <v>12880</v>
      </c>
      <c r="AE114" s="265">
        <f t="shared" si="63"/>
        <v>21896000</v>
      </c>
      <c r="AF114" s="266">
        <f t="shared" si="64"/>
        <v>6440000</v>
      </c>
      <c r="AG114" s="267">
        <f t="shared" si="65"/>
        <v>9016000</v>
      </c>
      <c r="AH114" s="268">
        <f t="shared" si="66"/>
        <v>6440000</v>
      </c>
      <c r="AI114" s="269">
        <f t="shared" si="62"/>
        <v>0</v>
      </c>
      <c r="AJ114" s="827" t="s">
        <v>4228</v>
      </c>
      <c r="AK114" s="916" t="s">
        <v>4734</v>
      </c>
      <c r="AL114" s="916">
        <v>500</v>
      </c>
      <c r="AM114" s="915">
        <f t="shared" si="47"/>
        <v>1200</v>
      </c>
      <c r="AN114" s="399">
        <v>11025000</v>
      </c>
    </row>
    <row r="115" spans="1:40" ht="283.5">
      <c r="A115" s="38">
        <v>97</v>
      </c>
      <c r="B115" s="258" t="s">
        <v>2794</v>
      </c>
      <c r="C115" s="311" t="s">
        <v>126</v>
      </c>
      <c r="D115" s="260">
        <v>95</v>
      </c>
      <c r="E115" s="351" t="s">
        <v>97</v>
      </c>
      <c r="F115" s="258" t="s">
        <v>2794</v>
      </c>
      <c r="G115" s="311" t="s">
        <v>126</v>
      </c>
      <c r="H115" s="419">
        <v>560</v>
      </c>
      <c r="I115" s="318" t="s">
        <v>98</v>
      </c>
      <c r="J115" s="346">
        <v>160</v>
      </c>
      <c r="K115" s="346">
        <v>200</v>
      </c>
      <c r="L115" s="346">
        <v>200</v>
      </c>
      <c r="M115" s="260"/>
      <c r="N115" s="261">
        <f t="shared" si="50"/>
        <v>100</v>
      </c>
      <c r="O115" s="262">
        <v>40</v>
      </c>
      <c r="P115" s="262">
        <v>40</v>
      </c>
      <c r="Q115" s="262">
        <v>20</v>
      </c>
      <c r="R115" s="261">
        <f t="shared" si="51"/>
        <v>130</v>
      </c>
      <c r="S115" s="262">
        <v>130</v>
      </c>
      <c r="T115" s="262"/>
      <c r="U115" s="261">
        <f t="shared" si="52"/>
        <v>130</v>
      </c>
      <c r="V115" s="262">
        <v>60</v>
      </c>
      <c r="W115" s="262">
        <v>50</v>
      </c>
      <c r="X115" s="262">
        <v>20</v>
      </c>
      <c r="Y115" s="261">
        <f t="shared" si="53"/>
        <v>190</v>
      </c>
      <c r="Z115" s="262">
        <v>160</v>
      </c>
      <c r="AA115" s="262">
        <v>30</v>
      </c>
      <c r="AB115" s="261">
        <v>10</v>
      </c>
      <c r="AC115" s="263"/>
      <c r="AD115" s="264">
        <v>300708</v>
      </c>
      <c r="AE115" s="265">
        <f t="shared" si="63"/>
        <v>168396480</v>
      </c>
      <c r="AF115" s="266">
        <f t="shared" si="64"/>
        <v>48113280</v>
      </c>
      <c r="AG115" s="267">
        <f t="shared" si="65"/>
        <v>60141600</v>
      </c>
      <c r="AH115" s="268">
        <f t="shared" si="66"/>
        <v>60141600</v>
      </c>
      <c r="AI115" s="269">
        <f t="shared" si="62"/>
        <v>0</v>
      </c>
      <c r="AJ115" s="827" t="s">
        <v>4228</v>
      </c>
      <c r="AK115" s="916" t="s">
        <v>4734</v>
      </c>
      <c r="AL115" s="916">
        <v>200</v>
      </c>
      <c r="AM115" s="915">
        <f t="shared" si="47"/>
        <v>360</v>
      </c>
      <c r="AN115" s="399">
        <v>54600000</v>
      </c>
    </row>
    <row r="116" spans="1:40" ht="141.75">
      <c r="A116" s="38">
        <v>98</v>
      </c>
      <c r="B116" s="258" t="s">
        <v>2795</v>
      </c>
      <c r="C116" s="311" t="s">
        <v>126</v>
      </c>
      <c r="D116" s="260">
        <v>96</v>
      </c>
      <c r="E116" s="351" t="s">
        <v>99</v>
      </c>
      <c r="F116" s="258" t="s">
        <v>2795</v>
      </c>
      <c r="G116" s="311" t="s">
        <v>126</v>
      </c>
      <c r="H116" s="419">
        <v>400</v>
      </c>
      <c r="I116" s="318" t="s">
        <v>98</v>
      </c>
      <c r="J116" s="346">
        <v>100</v>
      </c>
      <c r="K116" s="346">
        <v>200</v>
      </c>
      <c r="L116" s="346">
        <v>100</v>
      </c>
      <c r="M116" s="260"/>
      <c r="N116" s="261">
        <f t="shared" si="50"/>
        <v>100</v>
      </c>
      <c r="O116" s="262">
        <v>40</v>
      </c>
      <c r="P116" s="262">
        <v>40</v>
      </c>
      <c r="Q116" s="262">
        <v>20</v>
      </c>
      <c r="R116" s="261">
        <f t="shared" si="51"/>
        <v>130</v>
      </c>
      <c r="S116" s="262">
        <v>130</v>
      </c>
      <c r="T116" s="262"/>
      <c r="U116" s="261">
        <f t="shared" si="52"/>
        <v>130</v>
      </c>
      <c r="V116" s="262">
        <v>60</v>
      </c>
      <c r="W116" s="262">
        <v>50</v>
      </c>
      <c r="X116" s="262">
        <v>20</v>
      </c>
      <c r="Y116" s="261">
        <f t="shared" si="53"/>
        <v>30</v>
      </c>
      <c r="Z116" s="262">
        <v>30</v>
      </c>
      <c r="AA116" s="262"/>
      <c r="AB116" s="261">
        <v>10</v>
      </c>
      <c r="AC116" s="263"/>
      <c r="AD116" s="264">
        <v>28847</v>
      </c>
      <c r="AE116" s="265">
        <f t="shared" si="63"/>
        <v>11538800</v>
      </c>
      <c r="AF116" s="266">
        <f t="shared" si="64"/>
        <v>2884700</v>
      </c>
      <c r="AG116" s="267">
        <f t="shared" si="65"/>
        <v>5769400</v>
      </c>
      <c r="AH116" s="268">
        <f t="shared" si="66"/>
        <v>2884700</v>
      </c>
      <c r="AI116" s="269">
        <f t="shared" si="62"/>
        <v>0</v>
      </c>
      <c r="AJ116" s="827" t="s">
        <v>4228</v>
      </c>
      <c r="AK116" s="916"/>
      <c r="AL116" s="916"/>
      <c r="AM116" s="915">
        <f t="shared" si="47"/>
        <v>400</v>
      </c>
      <c r="AN116" s="399"/>
    </row>
    <row r="117" spans="1:40" ht="243">
      <c r="A117" s="38">
        <v>99</v>
      </c>
      <c r="B117" s="259" t="s">
        <v>2796</v>
      </c>
      <c r="C117" s="311" t="s">
        <v>126</v>
      </c>
      <c r="D117" s="260">
        <v>97</v>
      </c>
      <c r="E117" s="356" t="s">
        <v>100</v>
      </c>
      <c r="F117" s="259" t="s">
        <v>2796</v>
      </c>
      <c r="G117" s="311" t="s">
        <v>126</v>
      </c>
      <c r="H117" s="258">
        <v>120</v>
      </c>
      <c r="I117" s="319" t="s">
        <v>246</v>
      </c>
      <c r="J117" s="346"/>
      <c r="K117" s="346"/>
      <c r="L117" s="346">
        <v>120</v>
      </c>
      <c r="M117" s="260"/>
      <c r="N117" s="261">
        <f t="shared" si="50"/>
        <v>70</v>
      </c>
      <c r="O117" s="262">
        <v>30</v>
      </c>
      <c r="P117" s="262">
        <v>30</v>
      </c>
      <c r="Q117" s="262">
        <v>10</v>
      </c>
      <c r="R117" s="261">
        <f t="shared" si="51"/>
        <v>0</v>
      </c>
      <c r="S117" s="262">
        <v>0</v>
      </c>
      <c r="T117" s="262">
        <v>0</v>
      </c>
      <c r="U117" s="261">
        <f t="shared" si="52"/>
        <v>60</v>
      </c>
      <c r="V117" s="262">
        <v>20</v>
      </c>
      <c r="W117" s="262">
        <v>20</v>
      </c>
      <c r="X117" s="262">
        <v>20</v>
      </c>
      <c r="Y117" s="261">
        <f t="shared" si="53"/>
        <v>90</v>
      </c>
      <c r="Z117" s="262">
        <v>60</v>
      </c>
      <c r="AA117" s="262">
        <v>30</v>
      </c>
      <c r="AB117" s="261"/>
      <c r="AC117" s="263"/>
      <c r="AD117" s="264">
        <v>2410101</v>
      </c>
      <c r="AE117" s="265">
        <f t="shared" si="63"/>
        <v>289212120</v>
      </c>
      <c r="AF117" s="266">
        <f t="shared" si="64"/>
        <v>0</v>
      </c>
      <c r="AG117" s="267">
        <f t="shared" si="65"/>
        <v>0</v>
      </c>
      <c r="AH117" s="268">
        <f t="shared" si="66"/>
        <v>289212120</v>
      </c>
      <c r="AI117" s="269">
        <f t="shared" si="62"/>
        <v>0</v>
      </c>
      <c r="AJ117" s="827" t="s">
        <v>4228</v>
      </c>
      <c r="AK117" s="916"/>
      <c r="AL117" s="916"/>
      <c r="AM117" s="915">
        <f t="shared" si="47"/>
        <v>120</v>
      </c>
      <c r="AN117" s="399"/>
    </row>
    <row r="118" spans="1:40" s="5" customFormat="1" ht="101.25">
      <c r="A118" s="895"/>
      <c r="B118" s="248" t="s">
        <v>102</v>
      </c>
      <c r="C118" s="248" t="s">
        <v>126</v>
      </c>
      <c r="D118" s="250">
        <v>16</v>
      </c>
      <c r="E118" s="352" t="s">
        <v>101</v>
      </c>
      <c r="F118" s="248" t="s">
        <v>102</v>
      </c>
      <c r="G118" s="248" t="s">
        <v>126</v>
      </c>
      <c r="H118" s="270">
        <f>H119+H120+H121+H122+H123</f>
        <v>22</v>
      </c>
      <c r="I118" s="249"/>
      <c r="J118" s="668">
        <f>J119+J120+J122+J123+J121</f>
        <v>7</v>
      </c>
      <c r="K118" s="668">
        <f>K119+K120+K122+K123+K121</f>
        <v>9</v>
      </c>
      <c r="L118" s="668">
        <f>L119+L120+L122+L123+L121</f>
        <v>6</v>
      </c>
      <c r="M118" s="271">
        <f t="shared" ref="M118:AC118" si="70">M119+M121+M122+M123</f>
        <v>0</v>
      </c>
      <c r="N118" s="272">
        <f t="shared" si="70"/>
        <v>4</v>
      </c>
      <c r="O118" s="272">
        <f t="shared" si="70"/>
        <v>2</v>
      </c>
      <c r="P118" s="272">
        <f t="shared" si="70"/>
        <v>0</v>
      </c>
      <c r="Q118" s="272">
        <f t="shared" si="70"/>
        <v>2</v>
      </c>
      <c r="R118" s="272">
        <f t="shared" si="70"/>
        <v>0</v>
      </c>
      <c r="S118" s="272">
        <f t="shared" si="70"/>
        <v>0</v>
      </c>
      <c r="T118" s="272">
        <f t="shared" si="70"/>
        <v>0</v>
      </c>
      <c r="U118" s="272">
        <f t="shared" si="70"/>
        <v>4</v>
      </c>
      <c r="V118" s="272">
        <f t="shared" si="70"/>
        <v>2</v>
      </c>
      <c r="W118" s="272">
        <f t="shared" si="70"/>
        <v>0</v>
      </c>
      <c r="X118" s="272">
        <f t="shared" si="70"/>
        <v>2</v>
      </c>
      <c r="Y118" s="272">
        <f t="shared" si="70"/>
        <v>3</v>
      </c>
      <c r="Z118" s="272">
        <f t="shared" si="70"/>
        <v>1</v>
      </c>
      <c r="AA118" s="272">
        <f t="shared" si="70"/>
        <v>2</v>
      </c>
      <c r="AB118" s="272">
        <f t="shared" si="70"/>
        <v>1</v>
      </c>
      <c r="AC118" s="273">
        <f t="shared" si="70"/>
        <v>0</v>
      </c>
      <c r="AD118" s="253"/>
      <c r="AE118" s="254">
        <f>SUM(AE119:AE123)</f>
        <v>137766515</v>
      </c>
      <c r="AF118" s="255">
        <f>SUM(AF119:AF123)</f>
        <v>48312005</v>
      </c>
      <c r="AG118" s="256">
        <f>SUM(AG119:AG123)</f>
        <v>59064505</v>
      </c>
      <c r="AH118" s="255">
        <f>SUM(AH119,AH120,AH121,AH122,AH123)</f>
        <v>30390005</v>
      </c>
      <c r="AI118" s="274">
        <f t="shared" si="62"/>
        <v>0</v>
      </c>
      <c r="AJ118" s="827"/>
      <c r="AK118" s="916"/>
      <c r="AL118" s="916"/>
      <c r="AM118" s="915">
        <f t="shared" si="47"/>
        <v>22</v>
      </c>
      <c r="AN118" s="399"/>
    </row>
    <row r="119" spans="1:40" ht="222.75">
      <c r="A119" s="38">
        <v>100</v>
      </c>
      <c r="B119" s="311" t="s">
        <v>2797</v>
      </c>
      <c r="C119" s="311" t="s">
        <v>126</v>
      </c>
      <c r="D119" s="260">
        <v>98</v>
      </c>
      <c r="E119" s="351" t="s">
        <v>197</v>
      </c>
      <c r="F119" s="311" t="s">
        <v>2797</v>
      </c>
      <c r="G119" s="311" t="s">
        <v>126</v>
      </c>
      <c r="H119" s="258">
        <f t="shared" si="67"/>
        <v>3</v>
      </c>
      <c r="I119" s="258" t="s">
        <v>248</v>
      </c>
      <c r="J119" s="346">
        <v>1</v>
      </c>
      <c r="K119" s="346">
        <v>1</v>
      </c>
      <c r="L119" s="346">
        <v>1</v>
      </c>
      <c r="M119" s="260"/>
      <c r="N119" s="261">
        <f t="shared" si="50"/>
        <v>1</v>
      </c>
      <c r="O119" s="262">
        <v>1</v>
      </c>
      <c r="P119" s="262"/>
      <c r="Q119" s="262"/>
      <c r="R119" s="261">
        <f t="shared" si="51"/>
        <v>0</v>
      </c>
      <c r="S119" s="262"/>
      <c r="T119" s="262"/>
      <c r="U119" s="261">
        <f t="shared" si="52"/>
        <v>0</v>
      </c>
      <c r="V119" s="262"/>
      <c r="W119" s="262"/>
      <c r="X119" s="262"/>
      <c r="Y119" s="261">
        <f t="shared" si="53"/>
        <v>1</v>
      </c>
      <c r="Z119" s="262"/>
      <c r="AA119" s="262">
        <v>1</v>
      </c>
      <c r="AB119" s="261">
        <v>1</v>
      </c>
      <c r="AC119" s="263"/>
      <c r="AD119" s="264">
        <v>4710505</v>
      </c>
      <c r="AE119" s="265">
        <f>AD119*H119</f>
        <v>14131515</v>
      </c>
      <c r="AF119" s="266">
        <f>AD119*J119</f>
        <v>4710505</v>
      </c>
      <c r="AG119" s="267">
        <f>AD119*K119</f>
        <v>4710505</v>
      </c>
      <c r="AH119" s="268">
        <f>AD119*L119</f>
        <v>4710505</v>
      </c>
      <c r="AI119" s="269">
        <f t="shared" si="62"/>
        <v>0</v>
      </c>
      <c r="AJ119" s="827" t="s">
        <v>4228</v>
      </c>
      <c r="AK119" s="916" t="s">
        <v>4826</v>
      </c>
      <c r="AL119" s="916">
        <v>1</v>
      </c>
      <c r="AM119" s="915">
        <f t="shared" si="47"/>
        <v>2</v>
      </c>
      <c r="AN119" s="399">
        <v>7093080</v>
      </c>
    </row>
    <row r="120" spans="1:40" s="75" customFormat="1" ht="182.25">
      <c r="A120" s="38">
        <v>101</v>
      </c>
      <c r="B120" s="311" t="s">
        <v>2992</v>
      </c>
      <c r="C120" s="311" t="s">
        <v>126</v>
      </c>
      <c r="D120" s="260">
        <v>99</v>
      </c>
      <c r="E120" s="351" t="s">
        <v>197</v>
      </c>
      <c r="F120" s="311" t="s">
        <v>2992</v>
      </c>
      <c r="G120" s="311" t="s">
        <v>126</v>
      </c>
      <c r="H120" s="419">
        <v>2</v>
      </c>
      <c r="I120" s="258" t="s">
        <v>247</v>
      </c>
      <c r="J120" s="346">
        <v>1</v>
      </c>
      <c r="K120" s="346">
        <v>1</v>
      </c>
      <c r="L120" s="346"/>
      <c r="M120" s="260"/>
      <c r="N120" s="261"/>
      <c r="O120" s="262"/>
      <c r="P120" s="262"/>
      <c r="Q120" s="262"/>
      <c r="R120" s="261"/>
      <c r="S120" s="262"/>
      <c r="T120" s="262"/>
      <c r="U120" s="261"/>
      <c r="V120" s="262"/>
      <c r="W120" s="262"/>
      <c r="X120" s="262"/>
      <c r="Y120" s="261"/>
      <c r="Z120" s="262"/>
      <c r="AA120" s="262"/>
      <c r="AB120" s="261"/>
      <c r="AC120" s="263"/>
      <c r="AD120" s="264">
        <v>5750000</v>
      </c>
      <c r="AE120" s="265">
        <f>AD120*H120</f>
        <v>11500000</v>
      </c>
      <c r="AF120" s="266">
        <f>AD120*J120</f>
        <v>5750000</v>
      </c>
      <c r="AG120" s="267">
        <f>AD120*K120</f>
        <v>5750000</v>
      </c>
      <c r="AH120" s="268">
        <f>AD120*L120</f>
        <v>0</v>
      </c>
      <c r="AI120" s="269">
        <f t="shared" si="62"/>
        <v>0</v>
      </c>
      <c r="AJ120" s="827" t="s">
        <v>4228</v>
      </c>
      <c r="AK120" s="916" t="s">
        <v>4826</v>
      </c>
      <c r="AL120" s="916">
        <v>1</v>
      </c>
      <c r="AM120" s="915">
        <f t="shared" si="47"/>
        <v>1</v>
      </c>
      <c r="AN120" s="399">
        <v>9322160</v>
      </c>
    </row>
    <row r="121" spans="1:40" ht="182.25">
      <c r="A121" s="38">
        <v>102</v>
      </c>
      <c r="B121" s="311" t="s">
        <v>2798</v>
      </c>
      <c r="C121" s="311" t="s">
        <v>126</v>
      </c>
      <c r="D121" s="260">
        <v>100</v>
      </c>
      <c r="E121" s="351" t="s">
        <v>197</v>
      </c>
      <c r="F121" s="311" t="s">
        <v>2798</v>
      </c>
      <c r="G121" s="311" t="s">
        <v>126</v>
      </c>
      <c r="H121" s="258">
        <v>10</v>
      </c>
      <c r="I121" s="258" t="s">
        <v>247</v>
      </c>
      <c r="J121" s="666">
        <v>3</v>
      </c>
      <c r="K121" s="666">
        <v>4</v>
      </c>
      <c r="L121" s="666">
        <v>3</v>
      </c>
      <c r="M121" s="260"/>
      <c r="N121" s="261">
        <f t="shared" si="50"/>
        <v>1</v>
      </c>
      <c r="O121" s="262"/>
      <c r="P121" s="262"/>
      <c r="Q121" s="262">
        <v>1</v>
      </c>
      <c r="R121" s="261">
        <f t="shared" si="51"/>
        <v>0</v>
      </c>
      <c r="S121" s="262"/>
      <c r="T121" s="262"/>
      <c r="U121" s="261">
        <f t="shared" si="52"/>
        <v>0</v>
      </c>
      <c r="V121" s="262"/>
      <c r="W121" s="262"/>
      <c r="X121" s="262"/>
      <c r="Y121" s="261">
        <f t="shared" si="53"/>
        <v>1</v>
      </c>
      <c r="Z121" s="262"/>
      <c r="AA121" s="262">
        <v>1</v>
      </c>
      <c r="AB121" s="261"/>
      <c r="AC121" s="263"/>
      <c r="AD121" s="264">
        <v>4174500</v>
      </c>
      <c r="AE121" s="265">
        <f>AD121*H121</f>
        <v>41745000</v>
      </c>
      <c r="AF121" s="266">
        <f>AD121*J121</f>
        <v>12523500</v>
      </c>
      <c r="AG121" s="267">
        <f>AD121*K121</f>
        <v>16698000</v>
      </c>
      <c r="AH121" s="268">
        <f>AD121*L121</f>
        <v>12523500</v>
      </c>
      <c r="AI121" s="269">
        <f t="shared" si="62"/>
        <v>0</v>
      </c>
      <c r="AJ121" s="827" t="s">
        <v>4228</v>
      </c>
      <c r="AK121" s="916" t="s">
        <v>4826</v>
      </c>
      <c r="AL121" s="916">
        <v>4</v>
      </c>
      <c r="AM121" s="915">
        <f t="shared" si="47"/>
        <v>6</v>
      </c>
      <c r="AN121" s="399">
        <v>23608640</v>
      </c>
    </row>
    <row r="122" spans="1:40" s="11" customFormat="1" ht="101.25">
      <c r="A122" s="899">
        <v>103</v>
      </c>
      <c r="B122" s="320" t="s">
        <v>2799</v>
      </c>
      <c r="C122" s="295" t="s">
        <v>126</v>
      </c>
      <c r="D122" s="260">
        <v>101</v>
      </c>
      <c r="E122" s="363" t="s">
        <v>195</v>
      </c>
      <c r="F122" s="320" t="s">
        <v>2799</v>
      </c>
      <c r="G122" s="295" t="s">
        <v>126</v>
      </c>
      <c r="H122" s="258">
        <f t="shared" si="67"/>
        <v>2</v>
      </c>
      <c r="I122" s="259" t="s">
        <v>196</v>
      </c>
      <c r="J122" s="665">
        <v>1</v>
      </c>
      <c r="K122" s="667">
        <v>1</v>
      </c>
      <c r="L122" s="667"/>
      <c r="M122" s="276"/>
      <c r="N122" s="277">
        <f>O122+P122+Q122</f>
        <v>0</v>
      </c>
      <c r="O122" s="278"/>
      <c r="P122" s="278"/>
      <c r="Q122" s="278"/>
      <c r="R122" s="282"/>
      <c r="S122" s="303"/>
      <c r="T122" s="303"/>
      <c r="U122" s="261">
        <f t="shared" si="52"/>
        <v>2</v>
      </c>
      <c r="V122" s="278">
        <v>1</v>
      </c>
      <c r="W122" s="278"/>
      <c r="X122" s="278">
        <v>1</v>
      </c>
      <c r="Y122" s="282"/>
      <c r="Z122" s="303"/>
      <c r="AA122" s="303"/>
      <c r="AB122" s="282"/>
      <c r="AC122" s="283"/>
      <c r="AD122" s="264">
        <v>18750000</v>
      </c>
      <c r="AE122" s="265">
        <f>AD122*H122</f>
        <v>37500000</v>
      </c>
      <c r="AF122" s="266">
        <f>AD122*J122</f>
        <v>18750000</v>
      </c>
      <c r="AG122" s="267">
        <f>AD122*K122</f>
        <v>18750000</v>
      </c>
      <c r="AH122" s="268">
        <f>AD122*L122</f>
        <v>0</v>
      </c>
      <c r="AI122" s="269">
        <f t="shared" si="62"/>
        <v>0</v>
      </c>
      <c r="AJ122" s="827" t="s">
        <v>4228</v>
      </c>
      <c r="AK122" s="916" t="s">
        <v>4824</v>
      </c>
      <c r="AL122" s="919">
        <v>1</v>
      </c>
      <c r="AM122" s="915">
        <f t="shared" si="47"/>
        <v>1</v>
      </c>
      <c r="AN122" s="918">
        <v>28830000</v>
      </c>
    </row>
    <row r="123" spans="1:40" ht="344.25">
      <c r="A123" s="38">
        <v>104</v>
      </c>
      <c r="B123" s="258" t="s">
        <v>2800</v>
      </c>
      <c r="C123" s="258" t="s">
        <v>126</v>
      </c>
      <c r="D123" s="260">
        <v>102</v>
      </c>
      <c r="E123" s="351" t="s">
        <v>198</v>
      </c>
      <c r="F123" s="258" t="s">
        <v>2800</v>
      </c>
      <c r="G123" s="258" t="s">
        <v>126</v>
      </c>
      <c r="H123" s="419">
        <v>5</v>
      </c>
      <c r="I123" s="258" t="s">
        <v>164</v>
      </c>
      <c r="J123" s="346">
        <v>1</v>
      </c>
      <c r="K123" s="346">
        <v>2</v>
      </c>
      <c r="L123" s="346">
        <v>2</v>
      </c>
      <c r="M123" s="260"/>
      <c r="N123" s="261">
        <f>O123+P123+Q123</f>
        <v>2</v>
      </c>
      <c r="O123" s="262">
        <v>1</v>
      </c>
      <c r="P123" s="262"/>
      <c r="Q123" s="262">
        <v>1</v>
      </c>
      <c r="R123" s="261">
        <f t="shared" si="51"/>
        <v>0</v>
      </c>
      <c r="S123" s="262"/>
      <c r="T123" s="262"/>
      <c r="U123" s="261">
        <f t="shared" si="52"/>
        <v>2</v>
      </c>
      <c r="V123" s="262">
        <v>1</v>
      </c>
      <c r="W123" s="262"/>
      <c r="X123" s="262">
        <v>1</v>
      </c>
      <c r="Y123" s="261">
        <f t="shared" si="53"/>
        <v>1</v>
      </c>
      <c r="Z123" s="262">
        <v>1</v>
      </c>
      <c r="AA123" s="262"/>
      <c r="AB123" s="261"/>
      <c r="AC123" s="263"/>
      <c r="AD123" s="264">
        <v>6578000</v>
      </c>
      <c r="AE123" s="265">
        <f t="shared" si="63"/>
        <v>32890000</v>
      </c>
      <c r="AF123" s="266">
        <f t="shared" si="64"/>
        <v>6578000</v>
      </c>
      <c r="AG123" s="267">
        <f t="shared" si="65"/>
        <v>13156000</v>
      </c>
      <c r="AH123" s="268">
        <f>AD123*L123</f>
        <v>13156000</v>
      </c>
      <c r="AI123" s="269">
        <f t="shared" si="62"/>
        <v>0</v>
      </c>
      <c r="AJ123" s="827" t="s">
        <v>4228</v>
      </c>
      <c r="AK123" s="916" t="s">
        <v>4824</v>
      </c>
      <c r="AL123" s="916">
        <v>1</v>
      </c>
      <c r="AM123" s="915">
        <f t="shared" si="47"/>
        <v>4</v>
      </c>
      <c r="AN123" s="399">
        <v>13330000</v>
      </c>
    </row>
    <row r="124" spans="1:40" s="5" customFormat="1" ht="162">
      <c r="A124" s="895"/>
      <c r="B124" s="248" t="s">
        <v>104</v>
      </c>
      <c r="C124" s="248" t="s">
        <v>126</v>
      </c>
      <c r="D124" s="250">
        <v>17</v>
      </c>
      <c r="E124" s="352" t="s">
        <v>103</v>
      </c>
      <c r="F124" s="248" t="s">
        <v>104</v>
      </c>
      <c r="G124" s="248" t="s">
        <v>126</v>
      </c>
      <c r="H124" s="248">
        <f>H125+H126</f>
        <v>19</v>
      </c>
      <c r="I124" s="249"/>
      <c r="J124" s="664">
        <f>J125+J126</f>
        <v>3</v>
      </c>
      <c r="K124" s="664">
        <f>K125+K126</f>
        <v>9</v>
      </c>
      <c r="L124" s="664">
        <f>L125+L126</f>
        <v>7</v>
      </c>
      <c r="M124" s="250">
        <f t="shared" ref="M124:AC124" si="71">M125+M126</f>
        <v>0</v>
      </c>
      <c r="N124" s="251">
        <f t="shared" si="71"/>
        <v>5</v>
      </c>
      <c r="O124" s="251">
        <f t="shared" si="71"/>
        <v>1</v>
      </c>
      <c r="P124" s="251">
        <f t="shared" si="71"/>
        <v>3</v>
      </c>
      <c r="Q124" s="251">
        <f t="shared" si="71"/>
        <v>1</v>
      </c>
      <c r="R124" s="251">
        <f t="shared" si="71"/>
        <v>4</v>
      </c>
      <c r="S124" s="251">
        <f t="shared" si="71"/>
        <v>2</v>
      </c>
      <c r="T124" s="251">
        <f t="shared" si="71"/>
        <v>2</v>
      </c>
      <c r="U124" s="251">
        <f t="shared" si="71"/>
        <v>6</v>
      </c>
      <c r="V124" s="251">
        <f t="shared" si="71"/>
        <v>3</v>
      </c>
      <c r="W124" s="251">
        <f t="shared" si="71"/>
        <v>0</v>
      </c>
      <c r="X124" s="251">
        <f t="shared" si="71"/>
        <v>3</v>
      </c>
      <c r="Y124" s="251">
        <f t="shared" si="71"/>
        <v>5</v>
      </c>
      <c r="Z124" s="251">
        <f t="shared" si="71"/>
        <v>3</v>
      </c>
      <c r="AA124" s="251">
        <f t="shared" si="71"/>
        <v>2</v>
      </c>
      <c r="AB124" s="251">
        <f t="shared" si="71"/>
        <v>3</v>
      </c>
      <c r="AC124" s="252">
        <f t="shared" si="71"/>
        <v>0</v>
      </c>
      <c r="AD124" s="253"/>
      <c r="AE124" s="254">
        <f>SUM(AE125:AE126)</f>
        <v>87006000</v>
      </c>
      <c r="AF124" s="255">
        <f>SUM(AF125:AF126)</f>
        <v>19872000</v>
      </c>
      <c r="AG124" s="256">
        <f>SUM(AG125:AG126)</f>
        <v>36306000</v>
      </c>
      <c r="AH124" s="255">
        <f>SUM(AH125:AH126)</f>
        <v>30828000</v>
      </c>
      <c r="AI124" s="274">
        <f t="shared" si="62"/>
        <v>0</v>
      </c>
      <c r="AJ124" s="827"/>
      <c r="AK124" s="916"/>
      <c r="AL124" s="916"/>
      <c r="AM124" s="915">
        <f t="shared" si="47"/>
        <v>19</v>
      </c>
      <c r="AN124" s="399"/>
    </row>
    <row r="125" spans="1:40" ht="182.25">
      <c r="A125" s="38">
        <v>105</v>
      </c>
      <c r="B125" s="258" t="s">
        <v>2801</v>
      </c>
      <c r="C125" s="258" t="s">
        <v>126</v>
      </c>
      <c r="D125" s="260">
        <v>103</v>
      </c>
      <c r="E125" s="364" t="s">
        <v>199</v>
      </c>
      <c r="F125" s="258" t="s">
        <v>2801</v>
      </c>
      <c r="G125" s="258" t="s">
        <v>126</v>
      </c>
      <c r="H125" s="419">
        <f t="shared" si="67"/>
        <v>9</v>
      </c>
      <c r="I125" s="321" t="s">
        <v>209</v>
      </c>
      <c r="J125" s="346">
        <v>3</v>
      </c>
      <c r="K125" s="346">
        <v>3</v>
      </c>
      <c r="L125" s="346">
        <v>3</v>
      </c>
      <c r="M125" s="260"/>
      <c r="N125" s="261">
        <f t="shared" si="50"/>
        <v>2</v>
      </c>
      <c r="O125" s="262"/>
      <c r="P125" s="262">
        <v>1</v>
      </c>
      <c r="Q125" s="262">
        <v>1</v>
      </c>
      <c r="R125" s="261">
        <f t="shared" si="51"/>
        <v>2</v>
      </c>
      <c r="S125" s="262">
        <v>1</v>
      </c>
      <c r="T125" s="262">
        <v>1</v>
      </c>
      <c r="U125" s="261">
        <f t="shared" si="52"/>
        <v>2</v>
      </c>
      <c r="V125" s="262">
        <v>1</v>
      </c>
      <c r="W125" s="262"/>
      <c r="X125" s="262">
        <v>1</v>
      </c>
      <c r="Y125" s="261">
        <f t="shared" si="53"/>
        <v>2</v>
      </c>
      <c r="Z125" s="262">
        <v>1</v>
      </c>
      <c r="AA125" s="262">
        <v>1</v>
      </c>
      <c r="AB125" s="261">
        <v>1</v>
      </c>
      <c r="AC125" s="263"/>
      <c r="AD125" s="264">
        <v>6624000</v>
      </c>
      <c r="AE125" s="265">
        <f t="shared" si="63"/>
        <v>59616000</v>
      </c>
      <c r="AF125" s="266">
        <f t="shared" si="64"/>
        <v>19872000</v>
      </c>
      <c r="AG125" s="267">
        <f t="shared" si="65"/>
        <v>19872000</v>
      </c>
      <c r="AH125" s="268">
        <f t="shared" si="66"/>
        <v>19872000</v>
      </c>
      <c r="AI125" s="269">
        <f t="shared" si="62"/>
        <v>0</v>
      </c>
      <c r="AJ125" s="827" t="s">
        <v>4228</v>
      </c>
      <c r="AK125" s="916"/>
      <c r="AL125" s="916"/>
      <c r="AM125" s="915">
        <f t="shared" si="47"/>
        <v>9</v>
      </c>
      <c r="AN125" s="399"/>
    </row>
    <row r="126" spans="1:40" ht="263.25">
      <c r="A126" s="38">
        <v>106</v>
      </c>
      <c r="B126" s="258" t="s">
        <v>105</v>
      </c>
      <c r="C126" s="258" t="s">
        <v>126</v>
      </c>
      <c r="D126" s="260">
        <v>104</v>
      </c>
      <c r="E126" s="364" t="s">
        <v>176</v>
      </c>
      <c r="F126" s="258" t="s">
        <v>105</v>
      </c>
      <c r="G126" s="258" t="s">
        <v>126</v>
      </c>
      <c r="H126" s="419">
        <v>10</v>
      </c>
      <c r="I126" s="321" t="s">
        <v>165</v>
      </c>
      <c r="J126" s="346"/>
      <c r="K126" s="346">
        <v>6</v>
      </c>
      <c r="L126" s="346">
        <v>4</v>
      </c>
      <c r="M126" s="260"/>
      <c r="N126" s="261">
        <f t="shared" si="50"/>
        <v>3</v>
      </c>
      <c r="O126" s="262">
        <v>1</v>
      </c>
      <c r="P126" s="262">
        <v>2</v>
      </c>
      <c r="Q126" s="262"/>
      <c r="R126" s="261">
        <f t="shared" si="51"/>
        <v>2</v>
      </c>
      <c r="S126" s="262">
        <v>1</v>
      </c>
      <c r="T126" s="262">
        <v>1</v>
      </c>
      <c r="U126" s="261">
        <f t="shared" si="52"/>
        <v>4</v>
      </c>
      <c r="V126" s="262">
        <v>2</v>
      </c>
      <c r="W126" s="262"/>
      <c r="X126" s="262">
        <v>2</v>
      </c>
      <c r="Y126" s="261">
        <f t="shared" si="53"/>
        <v>3</v>
      </c>
      <c r="Z126" s="262">
        <v>2</v>
      </c>
      <c r="AA126" s="262">
        <v>1</v>
      </c>
      <c r="AB126" s="261">
        <v>2</v>
      </c>
      <c r="AC126" s="263"/>
      <c r="AD126" s="264">
        <v>2739000</v>
      </c>
      <c r="AE126" s="265">
        <f t="shared" si="63"/>
        <v>27390000</v>
      </c>
      <c r="AF126" s="266">
        <f t="shared" si="64"/>
        <v>0</v>
      </c>
      <c r="AG126" s="267">
        <f t="shared" si="65"/>
        <v>16434000</v>
      </c>
      <c r="AH126" s="268">
        <f t="shared" si="66"/>
        <v>10956000</v>
      </c>
      <c r="AI126" s="269">
        <f t="shared" si="62"/>
        <v>0</v>
      </c>
      <c r="AJ126" s="827" t="s">
        <v>4228</v>
      </c>
      <c r="AK126" s="916"/>
      <c r="AL126" s="916"/>
      <c r="AM126" s="915">
        <f t="shared" si="47"/>
        <v>10</v>
      </c>
      <c r="AN126" s="399"/>
    </row>
    <row r="127" spans="1:40" s="5" customFormat="1" ht="121.5">
      <c r="A127" s="895"/>
      <c r="B127" s="248" t="s">
        <v>107</v>
      </c>
      <c r="C127" s="248" t="s">
        <v>126</v>
      </c>
      <c r="D127" s="250">
        <v>18</v>
      </c>
      <c r="E127" s="352" t="s">
        <v>106</v>
      </c>
      <c r="F127" s="248" t="s">
        <v>107</v>
      </c>
      <c r="G127" s="248" t="s">
        <v>126</v>
      </c>
      <c r="H127" s="322">
        <f t="shared" si="67"/>
        <v>35</v>
      </c>
      <c r="I127" s="249"/>
      <c r="J127" s="271">
        <f>J128+J129++J130</f>
        <v>0</v>
      </c>
      <c r="K127" s="271">
        <f t="shared" ref="K127:AC127" si="72">K128+K129++K130</f>
        <v>0</v>
      </c>
      <c r="L127" s="271">
        <f t="shared" si="72"/>
        <v>35</v>
      </c>
      <c r="M127" s="271">
        <f t="shared" si="72"/>
        <v>0</v>
      </c>
      <c r="N127" s="272">
        <f t="shared" si="72"/>
        <v>15</v>
      </c>
      <c r="O127" s="272">
        <f t="shared" si="72"/>
        <v>5</v>
      </c>
      <c r="P127" s="272">
        <f t="shared" si="72"/>
        <v>5</v>
      </c>
      <c r="Q127" s="272">
        <f t="shared" si="72"/>
        <v>5</v>
      </c>
      <c r="R127" s="272">
        <f t="shared" si="72"/>
        <v>4</v>
      </c>
      <c r="S127" s="272">
        <f t="shared" si="72"/>
        <v>4</v>
      </c>
      <c r="T127" s="272">
        <f t="shared" si="72"/>
        <v>0</v>
      </c>
      <c r="U127" s="272">
        <f t="shared" si="72"/>
        <v>8</v>
      </c>
      <c r="V127" s="272">
        <f t="shared" si="72"/>
        <v>2</v>
      </c>
      <c r="W127" s="272">
        <f t="shared" si="72"/>
        <v>2</v>
      </c>
      <c r="X127" s="272">
        <f t="shared" si="72"/>
        <v>4</v>
      </c>
      <c r="Y127" s="272">
        <f t="shared" si="72"/>
        <v>4</v>
      </c>
      <c r="Z127" s="272">
        <f t="shared" si="72"/>
        <v>4</v>
      </c>
      <c r="AA127" s="272">
        <f t="shared" si="72"/>
        <v>0</v>
      </c>
      <c r="AB127" s="272">
        <f t="shared" si="72"/>
        <v>4</v>
      </c>
      <c r="AC127" s="273">
        <f t="shared" si="72"/>
        <v>0</v>
      </c>
      <c r="AD127" s="253"/>
      <c r="AE127" s="254">
        <f>SUM(AE128:AE130)</f>
        <v>83438345</v>
      </c>
      <c r="AF127" s="255">
        <f>SUM(AF128:AF130)</f>
        <v>0</v>
      </c>
      <c r="AG127" s="256">
        <f>SUM(AG128:AG130)</f>
        <v>0</v>
      </c>
      <c r="AH127" s="255">
        <f>SUM(AH128:AH130)</f>
        <v>83438345</v>
      </c>
      <c r="AI127" s="274">
        <f t="shared" si="62"/>
        <v>0</v>
      </c>
      <c r="AJ127" s="828"/>
      <c r="AK127" s="916"/>
      <c r="AL127" s="916"/>
      <c r="AM127" s="915">
        <f t="shared" si="47"/>
        <v>35</v>
      </c>
      <c r="AN127" s="399"/>
    </row>
    <row r="128" spans="1:40" s="11" customFormat="1" ht="141.75">
      <c r="A128" s="899">
        <v>107</v>
      </c>
      <c r="B128" s="275" t="s">
        <v>2802</v>
      </c>
      <c r="C128" s="275" t="s">
        <v>126</v>
      </c>
      <c r="D128" s="365">
        <v>105</v>
      </c>
      <c r="E128" s="354" t="s">
        <v>108</v>
      </c>
      <c r="F128" s="275" t="s">
        <v>2802</v>
      </c>
      <c r="G128" s="275" t="s">
        <v>126</v>
      </c>
      <c r="H128" s="258">
        <f t="shared" si="67"/>
        <v>6</v>
      </c>
      <c r="I128" s="1113" t="s">
        <v>210</v>
      </c>
      <c r="J128" s="276"/>
      <c r="K128" s="276"/>
      <c r="L128" s="276">
        <v>6</v>
      </c>
      <c r="M128" s="276"/>
      <c r="N128" s="277">
        <f>O128+P128+Q128</f>
        <v>6</v>
      </c>
      <c r="O128" s="278">
        <v>2</v>
      </c>
      <c r="P128" s="278">
        <v>2</v>
      </c>
      <c r="Q128" s="278">
        <v>2</v>
      </c>
      <c r="R128" s="282"/>
      <c r="S128" s="303"/>
      <c r="T128" s="303"/>
      <c r="U128" s="282"/>
      <c r="V128" s="303"/>
      <c r="W128" s="303"/>
      <c r="X128" s="303"/>
      <c r="Y128" s="282"/>
      <c r="Z128" s="303"/>
      <c r="AA128" s="303"/>
      <c r="AB128" s="282"/>
      <c r="AC128" s="283"/>
      <c r="AD128" s="280">
        <v>1900000</v>
      </c>
      <c r="AE128" s="265">
        <f t="shared" si="63"/>
        <v>11400000</v>
      </c>
      <c r="AF128" s="266">
        <f t="shared" si="64"/>
        <v>0</v>
      </c>
      <c r="AG128" s="267">
        <f t="shared" si="65"/>
        <v>0</v>
      </c>
      <c r="AH128" s="268">
        <f t="shared" si="66"/>
        <v>11400000</v>
      </c>
      <c r="AI128" s="269">
        <f t="shared" si="62"/>
        <v>0</v>
      </c>
      <c r="AJ128" s="827" t="s">
        <v>4228</v>
      </c>
      <c r="AK128" s="919"/>
      <c r="AL128" s="919"/>
      <c r="AM128" s="915">
        <f t="shared" si="47"/>
        <v>6</v>
      </c>
      <c r="AN128" s="918"/>
    </row>
    <row r="129" spans="1:40" ht="141.75">
      <c r="A129" s="38">
        <v>108</v>
      </c>
      <c r="B129" s="258" t="s">
        <v>2803</v>
      </c>
      <c r="C129" s="258" t="s">
        <v>126</v>
      </c>
      <c r="D129" s="260">
        <v>106</v>
      </c>
      <c r="E129" s="351" t="s">
        <v>108</v>
      </c>
      <c r="F129" s="258" t="s">
        <v>2803</v>
      </c>
      <c r="G129" s="258" t="s">
        <v>126</v>
      </c>
      <c r="H129" s="258">
        <f t="shared" si="67"/>
        <v>5</v>
      </c>
      <c r="I129" s="1114"/>
      <c r="J129" s="260"/>
      <c r="K129" s="260"/>
      <c r="L129" s="260">
        <v>5</v>
      </c>
      <c r="M129" s="260"/>
      <c r="N129" s="261">
        <f t="shared" si="50"/>
        <v>3</v>
      </c>
      <c r="O129" s="262">
        <v>1</v>
      </c>
      <c r="P129" s="262">
        <v>1</v>
      </c>
      <c r="Q129" s="262">
        <v>1</v>
      </c>
      <c r="R129" s="261">
        <f t="shared" si="51"/>
        <v>0</v>
      </c>
      <c r="S129" s="262"/>
      <c r="T129" s="262"/>
      <c r="U129" s="261">
        <f t="shared" si="52"/>
        <v>0</v>
      </c>
      <c r="V129" s="262"/>
      <c r="W129" s="262"/>
      <c r="X129" s="262"/>
      <c r="Y129" s="261">
        <f t="shared" si="53"/>
        <v>2</v>
      </c>
      <c r="Z129" s="262">
        <v>2</v>
      </c>
      <c r="AA129" s="262"/>
      <c r="AB129" s="261"/>
      <c r="AC129" s="263"/>
      <c r="AD129" s="264">
        <v>4472221</v>
      </c>
      <c r="AE129" s="265">
        <f t="shared" si="63"/>
        <v>22361105</v>
      </c>
      <c r="AF129" s="266">
        <f t="shared" si="64"/>
        <v>0</v>
      </c>
      <c r="AG129" s="267">
        <f t="shared" si="65"/>
        <v>0</v>
      </c>
      <c r="AH129" s="268">
        <f t="shared" si="66"/>
        <v>22361105</v>
      </c>
      <c r="AI129" s="269">
        <f t="shared" si="62"/>
        <v>0</v>
      </c>
      <c r="AJ129" s="827" t="s">
        <v>4228</v>
      </c>
      <c r="AK129" s="916"/>
      <c r="AL129" s="916"/>
      <c r="AM129" s="915">
        <f t="shared" si="47"/>
        <v>5</v>
      </c>
      <c r="AN129" s="399"/>
    </row>
    <row r="130" spans="1:40" ht="141.75">
      <c r="A130" s="38">
        <v>109</v>
      </c>
      <c r="B130" s="258" t="s">
        <v>2804</v>
      </c>
      <c r="C130" s="258" t="s">
        <v>126</v>
      </c>
      <c r="D130" s="365">
        <v>107</v>
      </c>
      <c r="E130" s="351" t="s">
        <v>108</v>
      </c>
      <c r="F130" s="258" t="s">
        <v>2804</v>
      </c>
      <c r="G130" s="258" t="s">
        <v>126</v>
      </c>
      <c r="H130" s="258">
        <f t="shared" si="67"/>
        <v>24</v>
      </c>
      <c r="I130" s="1115"/>
      <c r="J130" s="260"/>
      <c r="K130" s="260"/>
      <c r="L130" s="260">
        <v>24</v>
      </c>
      <c r="M130" s="260"/>
      <c r="N130" s="261">
        <f t="shared" si="50"/>
        <v>6</v>
      </c>
      <c r="O130" s="262">
        <v>2</v>
      </c>
      <c r="P130" s="262">
        <v>2</v>
      </c>
      <c r="Q130" s="262">
        <v>2</v>
      </c>
      <c r="R130" s="261">
        <f t="shared" si="51"/>
        <v>4</v>
      </c>
      <c r="S130" s="262">
        <v>4</v>
      </c>
      <c r="T130" s="262"/>
      <c r="U130" s="261">
        <f t="shared" si="52"/>
        <v>8</v>
      </c>
      <c r="V130" s="262">
        <v>2</v>
      </c>
      <c r="W130" s="262">
        <v>2</v>
      </c>
      <c r="X130" s="262">
        <v>4</v>
      </c>
      <c r="Y130" s="261">
        <f t="shared" si="53"/>
        <v>2</v>
      </c>
      <c r="Z130" s="262">
        <v>2</v>
      </c>
      <c r="AA130" s="262"/>
      <c r="AB130" s="261">
        <v>4</v>
      </c>
      <c r="AC130" s="263"/>
      <c r="AD130" s="264">
        <v>2069885</v>
      </c>
      <c r="AE130" s="265">
        <f t="shared" si="63"/>
        <v>49677240</v>
      </c>
      <c r="AF130" s="266">
        <f t="shared" si="64"/>
        <v>0</v>
      </c>
      <c r="AG130" s="267">
        <f t="shared" si="65"/>
        <v>0</v>
      </c>
      <c r="AH130" s="268">
        <f t="shared" si="66"/>
        <v>49677240</v>
      </c>
      <c r="AI130" s="269">
        <f t="shared" si="62"/>
        <v>0</v>
      </c>
      <c r="AJ130" s="827" t="s">
        <v>4228</v>
      </c>
      <c r="AK130" s="916"/>
      <c r="AL130" s="916"/>
      <c r="AM130" s="915">
        <f t="shared" si="47"/>
        <v>24</v>
      </c>
      <c r="AN130" s="399"/>
    </row>
    <row r="131" spans="1:40" s="5" customFormat="1" ht="121.5">
      <c r="A131" s="895"/>
      <c r="B131" s="299" t="s">
        <v>107</v>
      </c>
      <c r="C131" s="299" t="s">
        <v>126</v>
      </c>
      <c r="D131" s="262">
        <v>19</v>
      </c>
      <c r="E131" s="366" t="s">
        <v>109</v>
      </c>
      <c r="F131" s="299" t="s">
        <v>107</v>
      </c>
      <c r="G131" s="299" t="s">
        <v>126</v>
      </c>
      <c r="H131" s="323">
        <f t="shared" si="67"/>
        <v>115</v>
      </c>
      <c r="I131" s="301"/>
      <c r="J131" s="302">
        <f>J132+J133+J134+J135</f>
        <v>0</v>
      </c>
      <c r="K131" s="302">
        <f>K132+K133+K134+K135</f>
        <v>0</v>
      </c>
      <c r="L131" s="302">
        <f>L132+L133+L134+L135</f>
        <v>115</v>
      </c>
      <c r="M131" s="302">
        <f>M132+M133+M134+M135</f>
        <v>0</v>
      </c>
      <c r="N131" s="324">
        <f>N132+N133+N134+N135</f>
        <v>61</v>
      </c>
      <c r="O131" s="324">
        <f t="shared" ref="O131:AC131" si="73">O132+O133+O134+O135</f>
        <v>20</v>
      </c>
      <c r="P131" s="324">
        <f t="shared" si="73"/>
        <v>21</v>
      </c>
      <c r="Q131" s="324">
        <f t="shared" si="73"/>
        <v>20</v>
      </c>
      <c r="R131" s="324">
        <f t="shared" si="73"/>
        <v>10</v>
      </c>
      <c r="S131" s="324">
        <f t="shared" si="73"/>
        <v>6</v>
      </c>
      <c r="T131" s="324">
        <f t="shared" si="73"/>
        <v>4</v>
      </c>
      <c r="U131" s="324">
        <f t="shared" si="73"/>
        <v>18</v>
      </c>
      <c r="V131" s="324">
        <f t="shared" si="73"/>
        <v>6</v>
      </c>
      <c r="W131" s="324">
        <f t="shared" si="73"/>
        <v>8</v>
      </c>
      <c r="X131" s="324">
        <f t="shared" si="73"/>
        <v>4</v>
      </c>
      <c r="Y131" s="324">
        <f t="shared" si="73"/>
        <v>22</v>
      </c>
      <c r="Z131" s="324">
        <f t="shared" si="73"/>
        <v>13</v>
      </c>
      <c r="AA131" s="324">
        <f t="shared" si="73"/>
        <v>9</v>
      </c>
      <c r="AB131" s="324">
        <f t="shared" si="73"/>
        <v>4</v>
      </c>
      <c r="AC131" s="325">
        <f t="shared" si="73"/>
        <v>0</v>
      </c>
      <c r="AD131" s="253"/>
      <c r="AE131" s="254">
        <f>SUM(AE132:AE135)</f>
        <v>80918450</v>
      </c>
      <c r="AF131" s="255">
        <f>SUM(AF132:AF135)</f>
        <v>0</v>
      </c>
      <c r="AG131" s="256">
        <f>SUM(AG132:AG135)</f>
        <v>0</v>
      </c>
      <c r="AH131" s="255">
        <f>SUM(AH132:AH135)</f>
        <v>80918450</v>
      </c>
      <c r="AI131" s="274">
        <f t="shared" si="62"/>
        <v>0</v>
      </c>
      <c r="AJ131" s="828"/>
      <c r="AK131" s="916"/>
      <c r="AL131" s="916"/>
      <c r="AM131" s="915">
        <f t="shared" si="47"/>
        <v>115</v>
      </c>
      <c r="AN131" s="399"/>
    </row>
    <row r="132" spans="1:40" s="11" customFormat="1" ht="141.75">
      <c r="A132" s="899">
        <v>110</v>
      </c>
      <c r="B132" s="275" t="s">
        <v>2805</v>
      </c>
      <c r="C132" s="275" t="s">
        <v>126</v>
      </c>
      <c r="D132" s="367">
        <v>108</v>
      </c>
      <c r="E132" s="354" t="s">
        <v>109</v>
      </c>
      <c r="F132" s="275" t="s">
        <v>2805</v>
      </c>
      <c r="G132" s="275" t="s">
        <v>126</v>
      </c>
      <c r="H132" s="258">
        <f t="shared" si="67"/>
        <v>26</v>
      </c>
      <c r="I132" s="1113" t="s">
        <v>210</v>
      </c>
      <c r="J132" s="276"/>
      <c r="K132" s="276"/>
      <c r="L132" s="276">
        <v>26</v>
      </c>
      <c r="M132" s="276"/>
      <c r="N132" s="261">
        <f>O132+P132+Q132</f>
        <v>18</v>
      </c>
      <c r="O132" s="278">
        <v>6</v>
      </c>
      <c r="P132" s="278">
        <v>6</v>
      </c>
      <c r="Q132" s="278">
        <v>6</v>
      </c>
      <c r="R132" s="282"/>
      <c r="S132" s="303"/>
      <c r="T132" s="303"/>
      <c r="U132" s="282"/>
      <c r="V132" s="303"/>
      <c r="W132" s="303"/>
      <c r="X132" s="303"/>
      <c r="Y132" s="261">
        <f t="shared" ref="Y132:Y155" si="74">Z132+AA132</f>
        <v>8</v>
      </c>
      <c r="Z132" s="278">
        <v>4</v>
      </c>
      <c r="AA132" s="278">
        <v>4</v>
      </c>
      <c r="AB132" s="282"/>
      <c r="AC132" s="283"/>
      <c r="AD132" s="280">
        <v>400000</v>
      </c>
      <c r="AE132" s="265">
        <f t="shared" si="63"/>
        <v>10400000</v>
      </c>
      <c r="AF132" s="266">
        <f t="shared" si="64"/>
        <v>0</v>
      </c>
      <c r="AG132" s="267">
        <f t="shared" si="65"/>
        <v>0</v>
      </c>
      <c r="AH132" s="268">
        <f t="shared" si="66"/>
        <v>10400000</v>
      </c>
      <c r="AI132" s="269">
        <f t="shared" si="62"/>
        <v>0</v>
      </c>
      <c r="AJ132" s="827" t="s">
        <v>4228</v>
      </c>
      <c r="AK132" s="919"/>
      <c r="AL132" s="919"/>
      <c r="AM132" s="915">
        <f t="shared" ref="AM132:AM160" si="75">H132-AL132</f>
        <v>26</v>
      </c>
      <c r="AN132" s="918"/>
    </row>
    <row r="133" spans="1:40" s="11" customFormat="1" ht="141.75">
      <c r="A133" s="899">
        <v>111</v>
      </c>
      <c r="B133" s="275" t="s">
        <v>2806</v>
      </c>
      <c r="C133" s="275" t="s">
        <v>126</v>
      </c>
      <c r="D133" s="367">
        <v>109</v>
      </c>
      <c r="E133" s="354" t="s">
        <v>109</v>
      </c>
      <c r="F133" s="275" t="s">
        <v>2806</v>
      </c>
      <c r="G133" s="275" t="s">
        <v>126</v>
      </c>
      <c r="H133" s="258">
        <f t="shared" si="67"/>
        <v>18</v>
      </c>
      <c r="I133" s="1114"/>
      <c r="J133" s="276"/>
      <c r="K133" s="276"/>
      <c r="L133" s="276">
        <v>18</v>
      </c>
      <c r="M133" s="276"/>
      <c r="N133" s="261">
        <f>O133+P133+Q133</f>
        <v>18</v>
      </c>
      <c r="O133" s="278">
        <v>6</v>
      </c>
      <c r="P133" s="278">
        <v>6</v>
      </c>
      <c r="Q133" s="278">
        <v>6</v>
      </c>
      <c r="R133" s="282"/>
      <c r="S133" s="303"/>
      <c r="T133" s="303"/>
      <c r="U133" s="282"/>
      <c r="V133" s="303"/>
      <c r="W133" s="303"/>
      <c r="X133" s="303"/>
      <c r="Y133" s="261">
        <f t="shared" si="74"/>
        <v>0</v>
      </c>
      <c r="Z133" s="303"/>
      <c r="AA133" s="303"/>
      <c r="AB133" s="282"/>
      <c r="AC133" s="283"/>
      <c r="AD133" s="280">
        <v>315000</v>
      </c>
      <c r="AE133" s="265">
        <f t="shared" si="63"/>
        <v>5670000</v>
      </c>
      <c r="AF133" s="266">
        <f t="shared" si="64"/>
        <v>0</v>
      </c>
      <c r="AG133" s="267">
        <f t="shared" si="65"/>
        <v>0</v>
      </c>
      <c r="AH133" s="268">
        <f t="shared" si="66"/>
        <v>5670000</v>
      </c>
      <c r="AI133" s="269">
        <f t="shared" si="62"/>
        <v>0</v>
      </c>
      <c r="AJ133" s="827" t="s">
        <v>4228</v>
      </c>
      <c r="AK133" s="919"/>
      <c r="AL133" s="919"/>
      <c r="AM133" s="915">
        <f t="shared" si="75"/>
        <v>18</v>
      </c>
      <c r="AN133" s="918"/>
    </row>
    <row r="134" spans="1:40" ht="141.75">
      <c r="A134" s="38">
        <v>112</v>
      </c>
      <c r="B134" s="258" t="s">
        <v>2807</v>
      </c>
      <c r="C134" s="258" t="s">
        <v>126</v>
      </c>
      <c r="D134" s="367">
        <v>110</v>
      </c>
      <c r="E134" s="351" t="s">
        <v>109</v>
      </c>
      <c r="F134" s="258" t="s">
        <v>2807</v>
      </c>
      <c r="G134" s="258" t="s">
        <v>126</v>
      </c>
      <c r="H134" s="258">
        <f t="shared" si="67"/>
        <v>29</v>
      </c>
      <c r="I134" s="1114"/>
      <c r="J134" s="260"/>
      <c r="K134" s="260"/>
      <c r="L134" s="260">
        <v>29</v>
      </c>
      <c r="M134" s="260"/>
      <c r="N134" s="261">
        <f>O134+P134+Q134</f>
        <v>12</v>
      </c>
      <c r="O134" s="262">
        <v>4</v>
      </c>
      <c r="P134" s="262">
        <v>4</v>
      </c>
      <c r="Q134" s="262">
        <v>4</v>
      </c>
      <c r="R134" s="261">
        <f t="shared" ref="R134:R155" si="76">S134+T134</f>
        <v>2</v>
      </c>
      <c r="S134" s="262">
        <v>2</v>
      </c>
      <c r="T134" s="262"/>
      <c r="U134" s="261">
        <f t="shared" ref="U134:U155" si="77">V134+W134+X134</f>
        <v>6</v>
      </c>
      <c r="V134" s="262">
        <v>2</v>
      </c>
      <c r="W134" s="262">
        <v>4</v>
      </c>
      <c r="X134" s="262"/>
      <c r="Y134" s="261">
        <f t="shared" si="74"/>
        <v>5</v>
      </c>
      <c r="Z134" s="262">
        <v>4</v>
      </c>
      <c r="AA134" s="262">
        <v>1</v>
      </c>
      <c r="AB134" s="261">
        <v>4</v>
      </c>
      <c r="AC134" s="263"/>
      <c r="AD134" s="264">
        <v>853050</v>
      </c>
      <c r="AE134" s="265">
        <f t="shared" si="63"/>
        <v>24738450</v>
      </c>
      <c r="AF134" s="266">
        <f t="shared" si="64"/>
        <v>0</v>
      </c>
      <c r="AG134" s="267">
        <f t="shared" si="65"/>
        <v>0</v>
      </c>
      <c r="AH134" s="268">
        <f t="shared" si="66"/>
        <v>24738450</v>
      </c>
      <c r="AI134" s="269">
        <f t="shared" si="62"/>
        <v>0</v>
      </c>
      <c r="AJ134" s="827" t="s">
        <v>4228</v>
      </c>
      <c r="AK134" s="916"/>
      <c r="AL134" s="916"/>
      <c r="AM134" s="915">
        <f t="shared" si="75"/>
        <v>29</v>
      </c>
      <c r="AN134" s="399"/>
    </row>
    <row r="135" spans="1:40" ht="141.75">
      <c r="A135" s="38">
        <v>113</v>
      </c>
      <c r="B135" s="258" t="s">
        <v>2808</v>
      </c>
      <c r="C135" s="258" t="s">
        <v>126</v>
      </c>
      <c r="D135" s="367">
        <v>111</v>
      </c>
      <c r="E135" s="351" t="s">
        <v>200</v>
      </c>
      <c r="F135" s="258" t="s">
        <v>2808</v>
      </c>
      <c r="G135" s="258" t="s">
        <v>126</v>
      </c>
      <c r="H135" s="258">
        <f t="shared" si="67"/>
        <v>42</v>
      </c>
      <c r="I135" s="1115"/>
      <c r="J135" s="260"/>
      <c r="K135" s="260"/>
      <c r="L135" s="260">
        <v>42</v>
      </c>
      <c r="M135" s="260"/>
      <c r="N135" s="261">
        <f>O135+P135+Q135</f>
        <v>13</v>
      </c>
      <c r="O135" s="262">
        <v>4</v>
      </c>
      <c r="P135" s="262">
        <v>5</v>
      </c>
      <c r="Q135" s="262">
        <v>4</v>
      </c>
      <c r="R135" s="261">
        <f t="shared" si="76"/>
        <v>8</v>
      </c>
      <c r="S135" s="262">
        <v>4</v>
      </c>
      <c r="T135" s="262">
        <v>4</v>
      </c>
      <c r="U135" s="261">
        <f t="shared" si="77"/>
        <v>12</v>
      </c>
      <c r="V135" s="262">
        <v>4</v>
      </c>
      <c r="W135" s="262">
        <v>4</v>
      </c>
      <c r="X135" s="262">
        <v>4</v>
      </c>
      <c r="Y135" s="261">
        <f t="shared" si="74"/>
        <v>9</v>
      </c>
      <c r="Z135" s="262">
        <v>5</v>
      </c>
      <c r="AA135" s="262">
        <v>4</v>
      </c>
      <c r="AB135" s="261"/>
      <c r="AC135" s="263"/>
      <c r="AD135" s="264">
        <v>955000</v>
      </c>
      <c r="AE135" s="265">
        <f t="shared" si="63"/>
        <v>40110000</v>
      </c>
      <c r="AF135" s="266">
        <f t="shared" si="64"/>
        <v>0</v>
      </c>
      <c r="AG135" s="267">
        <f t="shared" si="65"/>
        <v>0</v>
      </c>
      <c r="AH135" s="268">
        <f t="shared" si="66"/>
        <v>40110000</v>
      </c>
      <c r="AI135" s="269">
        <f t="shared" si="62"/>
        <v>0</v>
      </c>
      <c r="AJ135" s="827" t="s">
        <v>4228</v>
      </c>
      <c r="AK135" s="916"/>
      <c r="AL135" s="916"/>
      <c r="AM135" s="915">
        <f t="shared" si="75"/>
        <v>42</v>
      </c>
      <c r="AN135" s="399"/>
    </row>
    <row r="136" spans="1:40" s="5" customFormat="1" ht="121.5">
      <c r="A136" s="895"/>
      <c r="B136" s="248" t="s">
        <v>107</v>
      </c>
      <c r="C136" s="248" t="s">
        <v>126</v>
      </c>
      <c r="D136" s="250">
        <v>20</v>
      </c>
      <c r="E136" s="355" t="s">
        <v>110</v>
      </c>
      <c r="F136" s="248" t="s">
        <v>107</v>
      </c>
      <c r="G136" s="248" t="s">
        <v>126</v>
      </c>
      <c r="H136" s="322">
        <f>H137+H138+H139+H140+H141+H142</f>
        <v>12582</v>
      </c>
      <c r="I136" s="249"/>
      <c r="J136" s="664">
        <f>J137+J138+J139+J140+J141+J142</f>
        <v>1350</v>
      </c>
      <c r="K136" s="664">
        <f>K137+K138+K139+K140+K141+K142</f>
        <v>6300</v>
      </c>
      <c r="L136" s="664">
        <f>L137+L138+L139+L140+L141+L142</f>
        <v>4932</v>
      </c>
      <c r="M136" s="250">
        <f>M137+M138+M139+M140+M141+M142</f>
        <v>0</v>
      </c>
      <c r="N136" s="324">
        <f>N137+N138+N140+N139+N141+N142</f>
        <v>0</v>
      </c>
      <c r="O136" s="324">
        <f t="shared" ref="O136:AC136" si="78">O137+O138+O140+O139+O141+O142</f>
        <v>0</v>
      </c>
      <c r="P136" s="324">
        <f t="shared" si="78"/>
        <v>0</v>
      </c>
      <c r="Q136" s="324">
        <f t="shared" si="78"/>
        <v>0</v>
      </c>
      <c r="R136" s="324">
        <f t="shared" si="78"/>
        <v>1022</v>
      </c>
      <c r="S136" s="324">
        <f t="shared" si="78"/>
        <v>1018</v>
      </c>
      <c r="T136" s="324">
        <f t="shared" si="78"/>
        <v>4</v>
      </c>
      <c r="U136" s="324">
        <f t="shared" si="78"/>
        <v>4061</v>
      </c>
      <c r="V136" s="324">
        <f t="shared" si="78"/>
        <v>622</v>
      </c>
      <c r="W136" s="324">
        <f t="shared" si="78"/>
        <v>1216</v>
      </c>
      <c r="X136" s="324">
        <f t="shared" si="78"/>
        <v>2223</v>
      </c>
      <c r="Y136" s="324">
        <f t="shared" si="78"/>
        <v>8835</v>
      </c>
      <c r="Z136" s="324">
        <f t="shared" si="78"/>
        <v>4820</v>
      </c>
      <c r="AA136" s="324">
        <f t="shared" si="78"/>
        <v>4015</v>
      </c>
      <c r="AB136" s="324">
        <f t="shared" si="78"/>
        <v>164</v>
      </c>
      <c r="AC136" s="325">
        <f t="shared" si="78"/>
        <v>0</v>
      </c>
      <c r="AD136" s="253"/>
      <c r="AE136" s="254">
        <f>SUM(AE137:AE142)</f>
        <v>446993139</v>
      </c>
      <c r="AF136" s="255">
        <f>SUM(AF137:AF142)</f>
        <v>59841300</v>
      </c>
      <c r="AG136" s="256">
        <f>SUM(AG137:AG142)</f>
        <v>215965500</v>
      </c>
      <c r="AH136" s="255">
        <f>SUM(AH137:AH142)</f>
        <v>171186339</v>
      </c>
      <c r="AI136" s="274">
        <f t="shared" si="62"/>
        <v>0</v>
      </c>
      <c r="AJ136" s="828">
        <f t="shared" si="62"/>
        <v>0</v>
      </c>
      <c r="AK136" s="916"/>
      <c r="AL136" s="916"/>
      <c r="AM136" s="915">
        <f t="shared" si="75"/>
        <v>12582</v>
      </c>
      <c r="AN136" s="399"/>
    </row>
    <row r="137" spans="1:40" ht="182.25">
      <c r="A137" s="38">
        <v>114</v>
      </c>
      <c r="B137" s="258" t="s">
        <v>2165</v>
      </c>
      <c r="C137" s="258" t="s">
        <v>126</v>
      </c>
      <c r="D137" s="260">
        <v>112</v>
      </c>
      <c r="E137" s="351" t="s">
        <v>110</v>
      </c>
      <c r="F137" s="258" t="s">
        <v>2165</v>
      </c>
      <c r="G137" s="258" t="s">
        <v>126</v>
      </c>
      <c r="H137" s="258">
        <f t="shared" si="67"/>
        <v>42</v>
      </c>
      <c r="I137" s="1113" t="s">
        <v>210</v>
      </c>
      <c r="J137" s="346"/>
      <c r="K137" s="346"/>
      <c r="L137" s="346">
        <v>42</v>
      </c>
      <c r="M137" s="260"/>
      <c r="N137" s="261">
        <f t="shared" ref="N137:N155" si="79">O137+P137+Q137</f>
        <v>0</v>
      </c>
      <c r="O137" s="262">
        <v>0</v>
      </c>
      <c r="P137" s="262">
        <v>0</v>
      </c>
      <c r="Q137" s="262">
        <v>0</v>
      </c>
      <c r="R137" s="261">
        <f t="shared" si="76"/>
        <v>10</v>
      </c>
      <c r="S137" s="262">
        <v>6</v>
      </c>
      <c r="T137" s="262">
        <v>4</v>
      </c>
      <c r="U137" s="261">
        <f t="shared" si="77"/>
        <v>13</v>
      </c>
      <c r="V137" s="262">
        <v>4</v>
      </c>
      <c r="W137" s="262">
        <v>4</v>
      </c>
      <c r="X137" s="262">
        <v>5</v>
      </c>
      <c r="Y137" s="261">
        <f t="shared" si="74"/>
        <v>15</v>
      </c>
      <c r="Z137" s="262">
        <v>10</v>
      </c>
      <c r="AA137" s="262">
        <v>5</v>
      </c>
      <c r="AB137" s="261">
        <v>4</v>
      </c>
      <c r="AC137" s="263"/>
      <c r="AD137" s="264">
        <v>43992</v>
      </c>
      <c r="AE137" s="265">
        <f t="shared" si="63"/>
        <v>1847664</v>
      </c>
      <c r="AF137" s="266">
        <f>AD137*J137</f>
        <v>0</v>
      </c>
      <c r="AG137" s="267">
        <f>AD137*K137</f>
        <v>0</v>
      </c>
      <c r="AH137" s="268">
        <f>AD137*L137</f>
        <v>1847664</v>
      </c>
      <c r="AI137" s="269">
        <f>AD137*M137</f>
        <v>0</v>
      </c>
      <c r="AJ137" s="827" t="s">
        <v>4228</v>
      </c>
      <c r="AK137" s="916"/>
      <c r="AL137" s="916"/>
      <c r="AM137" s="915">
        <f t="shared" si="75"/>
        <v>42</v>
      </c>
      <c r="AN137" s="399"/>
    </row>
    <row r="138" spans="1:40" ht="60.75">
      <c r="A138" s="38">
        <v>115</v>
      </c>
      <c r="B138" s="258" t="s">
        <v>2166</v>
      </c>
      <c r="C138" s="258" t="s">
        <v>126</v>
      </c>
      <c r="D138" s="260">
        <v>113</v>
      </c>
      <c r="E138" s="351" t="s">
        <v>111</v>
      </c>
      <c r="F138" s="258" t="s">
        <v>2166</v>
      </c>
      <c r="G138" s="258" t="s">
        <v>126</v>
      </c>
      <c r="H138" s="258">
        <f t="shared" si="67"/>
        <v>45</v>
      </c>
      <c r="I138" s="1114"/>
      <c r="J138" s="346"/>
      <c r="K138" s="346"/>
      <c r="L138" s="346">
        <v>45</v>
      </c>
      <c r="M138" s="260"/>
      <c r="N138" s="261">
        <f t="shared" si="79"/>
        <v>0</v>
      </c>
      <c r="O138" s="262">
        <v>0</v>
      </c>
      <c r="P138" s="262">
        <v>0</v>
      </c>
      <c r="Q138" s="262">
        <v>0</v>
      </c>
      <c r="R138" s="261">
        <f t="shared" si="76"/>
        <v>6</v>
      </c>
      <c r="S138" s="262">
        <v>6</v>
      </c>
      <c r="T138" s="262"/>
      <c r="U138" s="261">
        <f t="shared" si="77"/>
        <v>24</v>
      </c>
      <c r="V138" s="262">
        <v>10</v>
      </c>
      <c r="W138" s="262">
        <v>4</v>
      </c>
      <c r="X138" s="262">
        <v>10</v>
      </c>
      <c r="Y138" s="261">
        <f t="shared" si="74"/>
        <v>10</v>
      </c>
      <c r="Z138" s="262">
        <v>5</v>
      </c>
      <c r="AA138" s="262">
        <v>5</v>
      </c>
      <c r="AB138" s="261">
        <v>5</v>
      </c>
      <c r="AC138" s="263"/>
      <c r="AD138" s="264">
        <v>47278</v>
      </c>
      <c r="AE138" s="265">
        <f t="shared" si="63"/>
        <v>2127510</v>
      </c>
      <c r="AF138" s="266">
        <f t="shared" si="64"/>
        <v>0</v>
      </c>
      <c r="AG138" s="267">
        <f t="shared" si="65"/>
        <v>0</v>
      </c>
      <c r="AH138" s="268">
        <f t="shared" si="66"/>
        <v>2127510</v>
      </c>
      <c r="AI138" s="269">
        <f t="shared" si="62"/>
        <v>0</v>
      </c>
      <c r="AJ138" s="827" t="s">
        <v>4228</v>
      </c>
      <c r="AK138" s="916"/>
      <c r="AL138" s="916"/>
      <c r="AM138" s="915">
        <f t="shared" si="75"/>
        <v>45</v>
      </c>
      <c r="AN138" s="399"/>
    </row>
    <row r="139" spans="1:40" ht="60.75">
      <c r="A139" s="38">
        <v>116</v>
      </c>
      <c r="B139" s="258" t="s">
        <v>2167</v>
      </c>
      <c r="C139" s="258" t="s">
        <v>126</v>
      </c>
      <c r="D139" s="260">
        <v>114</v>
      </c>
      <c r="E139" s="351" t="s">
        <v>111</v>
      </c>
      <c r="F139" s="258" t="s">
        <v>2167</v>
      </c>
      <c r="G139" s="258" t="s">
        <v>126</v>
      </c>
      <c r="H139" s="258">
        <f t="shared" si="67"/>
        <v>45</v>
      </c>
      <c r="I139" s="1115"/>
      <c r="J139" s="346"/>
      <c r="K139" s="346"/>
      <c r="L139" s="346">
        <v>45</v>
      </c>
      <c r="M139" s="260"/>
      <c r="N139" s="261">
        <f t="shared" si="79"/>
        <v>0</v>
      </c>
      <c r="O139" s="262">
        <v>0</v>
      </c>
      <c r="P139" s="262">
        <v>0</v>
      </c>
      <c r="Q139" s="262">
        <v>0</v>
      </c>
      <c r="R139" s="261">
        <f t="shared" si="76"/>
        <v>6</v>
      </c>
      <c r="S139" s="262">
        <v>6</v>
      </c>
      <c r="T139" s="262"/>
      <c r="U139" s="261">
        <f t="shared" si="77"/>
        <v>24</v>
      </c>
      <c r="V139" s="262">
        <v>8</v>
      </c>
      <c r="W139" s="262">
        <v>8</v>
      </c>
      <c r="X139" s="262">
        <v>8</v>
      </c>
      <c r="Y139" s="261">
        <f t="shared" si="74"/>
        <v>10</v>
      </c>
      <c r="Z139" s="262">
        <v>5</v>
      </c>
      <c r="AA139" s="262">
        <v>5</v>
      </c>
      <c r="AB139" s="261">
        <v>5</v>
      </c>
      <c r="AC139" s="263"/>
      <c r="AD139" s="264">
        <v>48737</v>
      </c>
      <c r="AE139" s="265">
        <f t="shared" si="63"/>
        <v>2193165</v>
      </c>
      <c r="AF139" s="266">
        <f t="shared" si="64"/>
        <v>0</v>
      </c>
      <c r="AG139" s="267">
        <f t="shared" si="65"/>
        <v>0</v>
      </c>
      <c r="AH139" s="268">
        <f t="shared" si="66"/>
        <v>2193165</v>
      </c>
      <c r="AI139" s="269">
        <f t="shared" si="62"/>
        <v>0</v>
      </c>
      <c r="AJ139" s="827" t="s">
        <v>4228</v>
      </c>
      <c r="AK139" s="916"/>
      <c r="AL139" s="916"/>
      <c r="AM139" s="915">
        <f t="shared" si="75"/>
        <v>45</v>
      </c>
      <c r="AN139" s="399"/>
    </row>
    <row r="140" spans="1:40" ht="81">
      <c r="A140" s="38">
        <v>117</v>
      </c>
      <c r="B140" s="1101" t="s">
        <v>112</v>
      </c>
      <c r="C140" s="1101" t="s">
        <v>68</v>
      </c>
      <c r="D140" s="260">
        <v>115</v>
      </c>
      <c r="E140" s="351" t="s">
        <v>266</v>
      </c>
      <c r="F140" s="1101" t="s">
        <v>112</v>
      </c>
      <c r="G140" s="1101" t="s">
        <v>68</v>
      </c>
      <c r="H140" s="258">
        <f t="shared" si="67"/>
        <v>2200</v>
      </c>
      <c r="I140" s="318" t="s">
        <v>201</v>
      </c>
      <c r="J140" s="346">
        <v>700</v>
      </c>
      <c r="K140" s="346">
        <v>800</v>
      </c>
      <c r="L140" s="346">
        <v>700</v>
      </c>
      <c r="M140" s="260"/>
      <c r="N140" s="261">
        <f t="shared" si="79"/>
        <v>0</v>
      </c>
      <c r="O140" s="262">
        <v>0</v>
      </c>
      <c r="P140" s="262">
        <v>0</v>
      </c>
      <c r="Q140" s="262">
        <v>0</v>
      </c>
      <c r="R140" s="261">
        <f t="shared" si="76"/>
        <v>0</v>
      </c>
      <c r="S140" s="262"/>
      <c r="T140" s="262"/>
      <c r="U140" s="261">
        <f t="shared" si="77"/>
        <v>200</v>
      </c>
      <c r="V140" s="262"/>
      <c r="W140" s="262">
        <v>200</v>
      </c>
      <c r="X140" s="262"/>
      <c r="Y140" s="261">
        <f t="shared" si="74"/>
        <v>2000</v>
      </c>
      <c r="Z140" s="262">
        <v>1000</v>
      </c>
      <c r="AA140" s="262">
        <v>1000</v>
      </c>
      <c r="AB140" s="261"/>
      <c r="AC140" s="263"/>
      <c r="AD140" s="264">
        <v>12175</v>
      </c>
      <c r="AE140" s="265">
        <f t="shared" si="63"/>
        <v>26785000</v>
      </c>
      <c r="AF140" s="266">
        <f t="shared" si="64"/>
        <v>8522500</v>
      </c>
      <c r="AG140" s="267">
        <f t="shared" si="65"/>
        <v>9740000</v>
      </c>
      <c r="AH140" s="268">
        <f t="shared" si="66"/>
        <v>8522500</v>
      </c>
      <c r="AI140" s="269">
        <f t="shared" si="62"/>
        <v>0</v>
      </c>
      <c r="AJ140" s="827" t="s">
        <v>4228</v>
      </c>
      <c r="AK140" s="916" t="s">
        <v>4823</v>
      </c>
      <c r="AL140" s="916">
        <v>1000</v>
      </c>
      <c r="AM140" s="915">
        <f t="shared" si="75"/>
        <v>1200</v>
      </c>
      <c r="AN140" s="399">
        <v>10000000</v>
      </c>
    </row>
    <row r="141" spans="1:40" ht="162">
      <c r="A141" s="38">
        <v>118</v>
      </c>
      <c r="B141" s="1102"/>
      <c r="C141" s="1102"/>
      <c r="D141" s="260">
        <v>116</v>
      </c>
      <c r="E141" s="351" t="s">
        <v>267</v>
      </c>
      <c r="F141" s="1102"/>
      <c r="G141" s="1102"/>
      <c r="H141" s="419">
        <v>7800</v>
      </c>
      <c r="I141" s="318" t="s">
        <v>265</v>
      </c>
      <c r="J141" s="346"/>
      <c r="K141" s="346">
        <v>4500</v>
      </c>
      <c r="L141" s="346">
        <v>3300</v>
      </c>
      <c r="M141" s="260"/>
      <c r="N141" s="261">
        <f t="shared" si="79"/>
        <v>0</v>
      </c>
      <c r="O141" s="262">
        <v>0</v>
      </c>
      <c r="P141" s="262">
        <v>0</v>
      </c>
      <c r="Q141" s="262">
        <v>0</v>
      </c>
      <c r="R141" s="261">
        <f t="shared" si="76"/>
        <v>1000</v>
      </c>
      <c r="S141" s="262">
        <v>1000</v>
      </c>
      <c r="T141" s="262"/>
      <c r="U141" s="261">
        <f t="shared" si="77"/>
        <v>3400</v>
      </c>
      <c r="V141" s="262">
        <v>600</v>
      </c>
      <c r="W141" s="262">
        <v>800</v>
      </c>
      <c r="X141" s="262">
        <v>2000</v>
      </c>
      <c r="Y141" s="261">
        <f t="shared" si="74"/>
        <v>4800</v>
      </c>
      <c r="Z141" s="262">
        <v>2800</v>
      </c>
      <c r="AA141" s="262">
        <v>2000</v>
      </c>
      <c r="AB141" s="261">
        <v>100</v>
      </c>
      <c r="AC141" s="263"/>
      <c r="AD141" s="264">
        <v>28283</v>
      </c>
      <c r="AE141" s="265">
        <f t="shared" si="63"/>
        <v>220607400</v>
      </c>
      <c r="AF141" s="266">
        <f t="shared" si="64"/>
        <v>0</v>
      </c>
      <c r="AG141" s="267">
        <f t="shared" si="65"/>
        <v>127273500</v>
      </c>
      <c r="AH141" s="268">
        <f t="shared" si="66"/>
        <v>93333900</v>
      </c>
      <c r="AI141" s="269">
        <f t="shared" si="62"/>
        <v>0</v>
      </c>
      <c r="AJ141" s="827" t="s">
        <v>4228</v>
      </c>
      <c r="AK141" s="916" t="s">
        <v>4823</v>
      </c>
      <c r="AL141" s="916">
        <v>1000</v>
      </c>
      <c r="AM141" s="915">
        <f t="shared" si="75"/>
        <v>6800</v>
      </c>
      <c r="AN141" s="399">
        <v>25500000</v>
      </c>
    </row>
    <row r="142" spans="1:40" ht="121.5">
      <c r="A142" s="38">
        <v>119</v>
      </c>
      <c r="B142" s="1103"/>
      <c r="C142" s="1103"/>
      <c r="D142" s="260">
        <v>117</v>
      </c>
      <c r="E142" s="351" t="s">
        <v>268</v>
      </c>
      <c r="F142" s="1103"/>
      <c r="G142" s="1103"/>
      <c r="H142" s="419">
        <v>2450</v>
      </c>
      <c r="I142" s="260" t="s">
        <v>166</v>
      </c>
      <c r="J142" s="346">
        <v>650</v>
      </c>
      <c r="K142" s="346">
        <v>1000</v>
      </c>
      <c r="L142" s="346">
        <v>800</v>
      </c>
      <c r="M142" s="260"/>
      <c r="N142" s="261">
        <f t="shared" si="79"/>
        <v>0</v>
      </c>
      <c r="O142" s="262"/>
      <c r="P142" s="262"/>
      <c r="Q142" s="262"/>
      <c r="R142" s="261">
        <f t="shared" si="76"/>
        <v>0</v>
      </c>
      <c r="S142" s="262"/>
      <c r="T142" s="262"/>
      <c r="U142" s="261">
        <f t="shared" si="77"/>
        <v>400</v>
      </c>
      <c r="V142" s="262"/>
      <c r="W142" s="262">
        <v>200</v>
      </c>
      <c r="X142" s="262">
        <v>200</v>
      </c>
      <c r="Y142" s="261">
        <f t="shared" si="74"/>
        <v>2000</v>
      </c>
      <c r="Z142" s="262">
        <v>1000</v>
      </c>
      <c r="AA142" s="262">
        <v>1000</v>
      </c>
      <c r="AB142" s="261">
        <v>50</v>
      </c>
      <c r="AC142" s="263"/>
      <c r="AD142" s="264">
        <v>78952</v>
      </c>
      <c r="AE142" s="265">
        <f>AD142*H142</f>
        <v>193432400</v>
      </c>
      <c r="AF142" s="266">
        <f>AD142*J142</f>
        <v>51318800</v>
      </c>
      <c r="AG142" s="267">
        <f>AD142*K142</f>
        <v>78952000</v>
      </c>
      <c r="AH142" s="268">
        <f t="shared" si="66"/>
        <v>63161600</v>
      </c>
      <c r="AI142" s="269">
        <f t="shared" si="62"/>
        <v>0</v>
      </c>
      <c r="AJ142" s="827" t="s">
        <v>4228</v>
      </c>
      <c r="AK142" s="916"/>
      <c r="AL142" s="916"/>
      <c r="AM142" s="915">
        <f t="shared" si="75"/>
        <v>2450</v>
      </c>
      <c r="AN142" s="399"/>
    </row>
    <row r="143" spans="1:40" s="5" customFormat="1" ht="81">
      <c r="A143" s="895"/>
      <c r="B143" s="455" t="s">
        <v>114</v>
      </c>
      <c r="C143" s="455" t="s">
        <v>89</v>
      </c>
      <c r="D143" s="455">
        <v>118</v>
      </c>
      <c r="E143" s="455" t="s">
        <v>113</v>
      </c>
      <c r="F143" s="455" t="s">
        <v>114</v>
      </c>
      <c r="G143" s="455" t="s">
        <v>89</v>
      </c>
      <c r="H143" s="455">
        <v>370</v>
      </c>
      <c r="I143" s="455" t="s">
        <v>115</v>
      </c>
      <c r="J143" s="455">
        <v>0</v>
      </c>
      <c r="K143" s="455">
        <v>0</v>
      </c>
      <c r="L143" s="455">
        <v>370</v>
      </c>
      <c r="M143" s="455">
        <v>0</v>
      </c>
      <c r="N143" s="455">
        <f>O143+P143++Q143</f>
        <v>280</v>
      </c>
      <c r="O143" s="455">
        <v>140</v>
      </c>
      <c r="P143" s="455">
        <v>70</v>
      </c>
      <c r="Q143" s="455">
        <v>70</v>
      </c>
      <c r="R143" s="455">
        <f>S143+T143</f>
        <v>15</v>
      </c>
      <c r="S143" s="455">
        <v>15</v>
      </c>
      <c r="T143" s="455">
        <v>0</v>
      </c>
      <c r="U143" s="455">
        <f>V143+W143+X143</f>
        <v>45</v>
      </c>
      <c r="V143" s="455">
        <v>15</v>
      </c>
      <c r="W143" s="455">
        <v>10</v>
      </c>
      <c r="X143" s="455">
        <v>20</v>
      </c>
      <c r="Y143" s="455">
        <f>Z143+AA143</f>
        <v>30</v>
      </c>
      <c r="Z143" s="455">
        <v>15</v>
      </c>
      <c r="AA143" s="455">
        <v>15</v>
      </c>
      <c r="AB143" s="455" t="e">
        <f>#REF!+#REF!+AD143+AH143+AL143+AM143+AN143</f>
        <v>#REF!</v>
      </c>
      <c r="AC143" s="455" t="e">
        <f>#REF!+#REF!+AE143+AI143+AM143+AN143+AO143</f>
        <v>#REF!</v>
      </c>
      <c r="AD143" s="254">
        <v>1078000</v>
      </c>
      <c r="AE143" s="254">
        <f>AD143*H143</f>
        <v>398860000</v>
      </c>
      <c r="AF143" s="254">
        <f>AD143*J143</f>
        <v>0</v>
      </c>
      <c r="AG143" s="254">
        <f>AD143*K143</f>
        <v>0</v>
      </c>
      <c r="AH143" s="254">
        <f>AD143*L143</f>
        <v>398860000</v>
      </c>
      <c r="AI143" s="254">
        <f t="shared" si="62"/>
        <v>0</v>
      </c>
      <c r="AJ143" s="830" t="s">
        <v>4234</v>
      </c>
      <c r="AK143" s="916"/>
      <c r="AL143" s="916"/>
      <c r="AM143" s="915">
        <f t="shared" si="75"/>
        <v>370</v>
      </c>
      <c r="AN143" s="399"/>
    </row>
    <row r="144" spans="1:40" s="5" customFormat="1" ht="81">
      <c r="A144" s="895"/>
      <c r="B144" s="248" t="s">
        <v>150</v>
      </c>
      <c r="C144" s="248" t="s">
        <v>126</v>
      </c>
      <c r="D144" s="250">
        <v>22</v>
      </c>
      <c r="E144" s="355" t="s">
        <v>116</v>
      </c>
      <c r="F144" s="248" t="s">
        <v>150</v>
      </c>
      <c r="G144" s="248" t="s">
        <v>126</v>
      </c>
      <c r="H144" s="248">
        <v>20</v>
      </c>
      <c r="I144" s="329" t="s">
        <v>117</v>
      </c>
      <c r="J144" s="250">
        <v>5</v>
      </c>
      <c r="K144" s="250">
        <v>10</v>
      </c>
      <c r="L144" s="250">
        <v>5</v>
      </c>
      <c r="M144" s="250"/>
      <c r="N144" s="326">
        <f>O144+P144++Q144</f>
        <v>6</v>
      </c>
      <c r="O144" s="327">
        <v>2</v>
      </c>
      <c r="P144" s="327">
        <v>2</v>
      </c>
      <c r="Q144" s="327">
        <v>2</v>
      </c>
      <c r="R144" s="326">
        <f>S144+T144</f>
        <v>0</v>
      </c>
      <c r="S144" s="327">
        <v>0</v>
      </c>
      <c r="T144" s="327">
        <v>0</v>
      </c>
      <c r="U144" s="326">
        <f>V144+W144+X144</f>
        <v>0</v>
      </c>
      <c r="V144" s="327">
        <v>0</v>
      </c>
      <c r="W144" s="327">
        <v>0</v>
      </c>
      <c r="X144" s="327">
        <v>0</v>
      </c>
      <c r="Y144" s="326">
        <f>Z144+AA144</f>
        <v>4</v>
      </c>
      <c r="Z144" s="327">
        <v>2</v>
      </c>
      <c r="AA144" s="327">
        <v>2</v>
      </c>
      <c r="AB144" s="326" t="e">
        <f>#REF!+#REF!+AD144+AH144+AL144+AM144+AN144</f>
        <v>#REF!</v>
      </c>
      <c r="AC144" s="328" t="e">
        <f>#REF!+#REF!+AE144+AI144+AM144+AN144+AO144</f>
        <v>#REF!</v>
      </c>
      <c r="AD144" s="254">
        <v>20350000</v>
      </c>
      <c r="AE144" s="254">
        <f>AD144*H144</f>
        <v>407000000</v>
      </c>
      <c r="AF144" s="254">
        <f>AD144*J144</f>
        <v>101750000</v>
      </c>
      <c r="AG144" s="254">
        <f>AD144*K144</f>
        <v>203500000</v>
      </c>
      <c r="AH144" s="254">
        <f>AD144*L144</f>
        <v>101750000</v>
      </c>
      <c r="AI144" s="254">
        <f t="shared" si="62"/>
        <v>0</v>
      </c>
      <c r="AJ144" s="830" t="s">
        <v>4228</v>
      </c>
      <c r="AK144" s="916"/>
      <c r="AL144" s="916"/>
      <c r="AM144" s="915">
        <f t="shared" si="75"/>
        <v>20</v>
      </c>
      <c r="AN144" s="399"/>
    </row>
    <row r="145" spans="1:40" s="5" customFormat="1" ht="162">
      <c r="A145" s="895"/>
      <c r="B145" s="248" t="s">
        <v>119</v>
      </c>
      <c r="C145" s="248" t="s">
        <v>126</v>
      </c>
      <c r="D145" s="250">
        <v>23</v>
      </c>
      <c r="E145" s="352" t="s">
        <v>118</v>
      </c>
      <c r="F145" s="248" t="s">
        <v>119</v>
      </c>
      <c r="G145" s="248" t="s">
        <v>126</v>
      </c>
      <c r="H145" s="248">
        <f>N145+R145+U145+Y145+AB145+AC145</f>
        <v>119</v>
      </c>
      <c r="I145" s="249"/>
      <c r="J145" s="250">
        <f>J146+J147+J148++J149+J150+J151+J152</f>
        <v>31</v>
      </c>
      <c r="K145" s="250">
        <f>K146+K147+K148++K149+K150+K151+K152</f>
        <v>45</v>
      </c>
      <c r="L145" s="250">
        <f>L146+L147+L148++L149+L150+L151+L152</f>
        <v>33</v>
      </c>
      <c r="M145" s="250">
        <f>M146+M147+M148++M149+M150+M151+M152</f>
        <v>0</v>
      </c>
      <c r="N145" s="326">
        <f>N146+N147++N148+N149+N150++N151+N152</f>
        <v>10</v>
      </c>
      <c r="O145" s="326">
        <f t="shared" ref="O145:AC145" si="80">O146+O147++O148+O149+O150++O151+O152</f>
        <v>3</v>
      </c>
      <c r="P145" s="326">
        <f t="shared" si="80"/>
        <v>5</v>
      </c>
      <c r="Q145" s="326">
        <f t="shared" si="80"/>
        <v>2</v>
      </c>
      <c r="R145" s="326">
        <f t="shared" si="80"/>
        <v>23</v>
      </c>
      <c r="S145" s="326">
        <f t="shared" si="80"/>
        <v>15</v>
      </c>
      <c r="T145" s="326">
        <f t="shared" si="80"/>
        <v>8</v>
      </c>
      <c r="U145" s="326">
        <f t="shared" si="80"/>
        <v>48</v>
      </c>
      <c r="V145" s="326">
        <f t="shared" si="80"/>
        <v>8</v>
      </c>
      <c r="W145" s="326">
        <f t="shared" si="80"/>
        <v>11</v>
      </c>
      <c r="X145" s="326">
        <f t="shared" si="80"/>
        <v>29</v>
      </c>
      <c r="Y145" s="326">
        <f t="shared" si="80"/>
        <v>27</v>
      </c>
      <c r="Z145" s="326">
        <f t="shared" si="80"/>
        <v>18</v>
      </c>
      <c r="AA145" s="326">
        <f t="shared" si="80"/>
        <v>9</v>
      </c>
      <c r="AB145" s="326">
        <f t="shared" si="80"/>
        <v>11</v>
      </c>
      <c r="AC145" s="328">
        <f t="shared" si="80"/>
        <v>0</v>
      </c>
      <c r="AD145" s="253"/>
      <c r="AE145" s="254">
        <f>SUM(AE146:AE152)</f>
        <v>335539040</v>
      </c>
      <c r="AF145" s="255">
        <f>SUM(AF146:AF152)</f>
        <v>97202020</v>
      </c>
      <c r="AG145" s="256">
        <f>SUM(AG146:AG152)</f>
        <v>145442500</v>
      </c>
      <c r="AH145" s="255">
        <f>SUM(AH146:AH152)</f>
        <v>92894520</v>
      </c>
      <c r="AI145" s="274">
        <f t="shared" si="62"/>
        <v>0</v>
      </c>
      <c r="AJ145" s="828"/>
      <c r="AK145" s="916"/>
      <c r="AL145" s="916"/>
      <c r="AM145" s="915">
        <f t="shared" si="75"/>
        <v>119</v>
      </c>
      <c r="AN145" s="399"/>
    </row>
    <row r="146" spans="1:40" ht="182.25">
      <c r="A146" s="38">
        <v>120</v>
      </c>
      <c r="B146" s="258" t="s">
        <v>2809</v>
      </c>
      <c r="C146" s="258" t="s">
        <v>126</v>
      </c>
      <c r="D146" s="260">
        <v>119</v>
      </c>
      <c r="E146" s="351" t="s">
        <v>203</v>
      </c>
      <c r="F146" s="258" t="s">
        <v>2809</v>
      </c>
      <c r="G146" s="258" t="s">
        <v>126</v>
      </c>
      <c r="H146" s="419">
        <v>15</v>
      </c>
      <c r="I146" s="318" t="s">
        <v>249</v>
      </c>
      <c r="J146" s="260">
        <v>5</v>
      </c>
      <c r="K146" s="260">
        <v>5</v>
      </c>
      <c r="L146" s="260">
        <v>5</v>
      </c>
      <c r="M146" s="260"/>
      <c r="N146" s="261">
        <f t="shared" si="79"/>
        <v>4</v>
      </c>
      <c r="O146" s="262"/>
      <c r="P146" s="262">
        <v>2</v>
      </c>
      <c r="Q146" s="262">
        <v>2</v>
      </c>
      <c r="R146" s="261">
        <f t="shared" si="76"/>
        <v>2</v>
      </c>
      <c r="S146" s="262">
        <v>2</v>
      </c>
      <c r="T146" s="262"/>
      <c r="U146" s="261">
        <f t="shared" si="77"/>
        <v>4</v>
      </c>
      <c r="V146" s="262"/>
      <c r="W146" s="262">
        <v>2</v>
      </c>
      <c r="X146" s="262">
        <v>2</v>
      </c>
      <c r="Y146" s="261">
        <f t="shared" si="74"/>
        <v>2</v>
      </c>
      <c r="Z146" s="262">
        <v>2</v>
      </c>
      <c r="AA146" s="262"/>
      <c r="AB146" s="261">
        <v>3</v>
      </c>
      <c r="AC146" s="263"/>
      <c r="AD146" s="264">
        <v>1155000</v>
      </c>
      <c r="AE146" s="265">
        <f t="shared" si="63"/>
        <v>17325000</v>
      </c>
      <c r="AF146" s="266">
        <f t="shared" si="64"/>
        <v>5775000</v>
      </c>
      <c r="AG146" s="267">
        <f t="shared" si="65"/>
        <v>5775000</v>
      </c>
      <c r="AH146" s="268">
        <f t="shared" si="66"/>
        <v>5775000</v>
      </c>
      <c r="AI146" s="269">
        <f t="shared" si="62"/>
        <v>0</v>
      </c>
      <c r="AJ146" s="827" t="s">
        <v>4228</v>
      </c>
      <c r="AK146" s="916" t="s">
        <v>4734</v>
      </c>
      <c r="AL146" s="916">
        <v>2</v>
      </c>
      <c r="AM146" s="915">
        <f t="shared" si="75"/>
        <v>13</v>
      </c>
      <c r="AN146" s="399">
        <v>1400000</v>
      </c>
    </row>
    <row r="147" spans="1:40" ht="162">
      <c r="A147" s="38">
        <v>121</v>
      </c>
      <c r="B147" s="258" t="s">
        <v>2810</v>
      </c>
      <c r="C147" s="258" t="s">
        <v>126</v>
      </c>
      <c r="D147" s="260">
        <v>120</v>
      </c>
      <c r="E147" s="351" t="s">
        <v>120</v>
      </c>
      <c r="F147" s="258" t="s">
        <v>2810</v>
      </c>
      <c r="G147" s="258" t="s">
        <v>126</v>
      </c>
      <c r="H147" s="258">
        <f t="shared" si="67"/>
        <v>42</v>
      </c>
      <c r="I147" s="318" t="s">
        <v>250</v>
      </c>
      <c r="J147" s="260">
        <v>13</v>
      </c>
      <c r="K147" s="260">
        <v>16</v>
      </c>
      <c r="L147" s="260">
        <v>13</v>
      </c>
      <c r="M147" s="260"/>
      <c r="N147" s="261">
        <f t="shared" si="79"/>
        <v>0</v>
      </c>
      <c r="O147" s="262">
        <v>0</v>
      </c>
      <c r="P147" s="262">
        <v>0</v>
      </c>
      <c r="Q147" s="262">
        <v>0</v>
      </c>
      <c r="R147" s="261">
        <f t="shared" si="76"/>
        <v>6</v>
      </c>
      <c r="S147" s="262">
        <v>3</v>
      </c>
      <c r="T147" s="262">
        <v>3</v>
      </c>
      <c r="U147" s="261">
        <f t="shared" si="77"/>
        <v>18</v>
      </c>
      <c r="V147" s="262">
        <v>6</v>
      </c>
      <c r="W147" s="262">
        <v>6</v>
      </c>
      <c r="X147" s="262">
        <v>6</v>
      </c>
      <c r="Y147" s="261">
        <f t="shared" si="74"/>
        <v>12</v>
      </c>
      <c r="Z147" s="262">
        <v>6</v>
      </c>
      <c r="AA147" s="262">
        <v>6</v>
      </c>
      <c r="AB147" s="261">
        <v>6</v>
      </c>
      <c r="AC147" s="263"/>
      <c r="AD147" s="264">
        <v>112200</v>
      </c>
      <c r="AE147" s="265">
        <f t="shared" si="63"/>
        <v>4712400</v>
      </c>
      <c r="AF147" s="266">
        <f t="shared" si="64"/>
        <v>1458600</v>
      </c>
      <c r="AG147" s="267">
        <f t="shared" si="65"/>
        <v>1795200</v>
      </c>
      <c r="AH147" s="268">
        <f t="shared" si="66"/>
        <v>1458600</v>
      </c>
      <c r="AI147" s="269">
        <f t="shared" si="62"/>
        <v>0</v>
      </c>
      <c r="AJ147" s="827" t="s">
        <v>4228</v>
      </c>
      <c r="AK147" s="916"/>
      <c r="AL147" s="916"/>
      <c r="AM147" s="915">
        <f t="shared" si="75"/>
        <v>42</v>
      </c>
      <c r="AN147" s="399"/>
    </row>
    <row r="148" spans="1:40" ht="182.25">
      <c r="A148" s="38">
        <v>122</v>
      </c>
      <c r="B148" s="258" t="s">
        <v>2811</v>
      </c>
      <c r="C148" s="258" t="s">
        <v>126</v>
      </c>
      <c r="D148" s="260">
        <v>121</v>
      </c>
      <c r="E148" s="351" t="s">
        <v>121</v>
      </c>
      <c r="F148" s="258" t="s">
        <v>2811</v>
      </c>
      <c r="G148" s="258" t="s">
        <v>126</v>
      </c>
      <c r="H148" s="419">
        <v>14</v>
      </c>
      <c r="I148" s="318" t="s">
        <v>251</v>
      </c>
      <c r="J148" s="260">
        <v>4</v>
      </c>
      <c r="K148" s="260">
        <v>6</v>
      </c>
      <c r="L148" s="260">
        <v>4</v>
      </c>
      <c r="M148" s="260"/>
      <c r="N148" s="261">
        <f t="shared" si="79"/>
        <v>0</v>
      </c>
      <c r="O148" s="262">
        <v>0</v>
      </c>
      <c r="P148" s="262">
        <v>0</v>
      </c>
      <c r="Q148" s="262">
        <v>0</v>
      </c>
      <c r="R148" s="261">
        <f t="shared" si="76"/>
        <v>4</v>
      </c>
      <c r="S148" s="262">
        <v>2</v>
      </c>
      <c r="T148" s="262">
        <v>2</v>
      </c>
      <c r="U148" s="261">
        <f t="shared" si="77"/>
        <v>6</v>
      </c>
      <c r="V148" s="262">
        <v>2</v>
      </c>
      <c r="W148" s="262"/>
      <c r="X148" s="262">
        <v>4</v>
      </c>
      <c r="Y148" s="261">
        <f t="shared" si="74"/>
        <v>2</v>
      </c>
      <c r="Z148" s="262">
        <v>2</v>
      </c>
      <c r="AA148" s="262"/>
      <c r="AB148" s="261">
        <v>2</v>
      </c>
      <c r="AC148" s="263"/>
      <c r="AD148" s="264">
        <v>16445000</v>
      </c>
      <c r="AE148" s="265">
        <f>AD148*H148</f>
        <v>230230000</v>
      </c>
      <c r="AF148" s="266">
        <f t="shared" si="64"/>
        <v>65780000</v>
      </c>
      <c r="AG148" s="267">
        <f t="shared" si="65"/>
        <v>98670000</v>
      </c>
      <c r="AH148" s="268">
        <f t="shared" si="66"/>
        <v>65780000</v>
      </c>
      <c r="AI148" s="269">
        <f t="shared" si="62"/>
        <v>0</v>
      </c>
      <c r="AJ148" s="827" t="s">
        <v>4228</v>
      </c>
      <c r="AK148" s="916"/>
      <c r="AL148" s="916"/>
      <c r="AM148" s="915">
        <f t="shared" si="75"/>
        <v>14</v>
      </c>
      <c r="AN148" s="399"/>
    </row>
    <row r="149" spans="1:40" ht="182.25">
      <c r="A149" s="38">
        <v>123</v>
      </c>
      <c r="B149" s="330" t="s">
        <v>2812</v>
      </c>
      <c r="C149" s="258" t="s">
        <v>126</v>
      </c>
      <c r="D149" s="260">
        <v>122</v>
      </c>
      <c r="E149" s="351" t="s">
        <v>204</v>
      </c>
      <c r="F149" s="330" t="s">
        <v>2812</v>
      </c>
      <c r="G149" s="258" t="s">
        <v>126</v>
      </c>
      <c r="H149" s="258">
        <f t="shared" si="67"/>
        <v>12</v>
      </c>
      <c r="I149" s="318" t="s">
        <v>252</v>
      </c>
      <c r="J149" s="260">
        <v>6</v>
      </c>
      <c r="K149" s="260">
        <v>6</v>
      </c>
      <c r="L149" s="260"/>
      <c r="M149" s="260"/>
      <c r="N149" s="261">
        <f t="shared" si="79"/>
        <v>3</v>
      </c>
      <c r="O149" s="262"/>
      <c r="P149" s="262">
        <v>3</v>
      </c>
      <c r="Q149" s="262"/>
      <c r="R149" s="261">
        <f t="shared" si="76"/>
        <v>3</v>
      </c>
      <c r="S149" s="262">
        <v>3</v>
      </c>
      <c r="T149" s="262"/>
      <c r="U149" s="261">
        <f t="shared" si="77"/>
        <v>3</v>
      </c>
      <c r="V149" s="262"/>
      <c r="W149" s="262"/>
      <c r="X149" s="262">
        <v>3</v>
      </c>
      <c r="Y149" s="261">
        <f t="shared" si="74"/>
        <v>3</v>
      </c>
      <c r="Z149" s="262"/>
      <c r="AA149" s="262">
        <v>3</v>
      </c>
      <c r="AB149" s="261"/>
      <c r="AC149" s="263"/>
      <c r="AD149" s="264">
        <v>1849190</v>
      </c>
      <c r="AE149" s="265">
        <f t="shared" si="63"/>
        <v>22190280</v>
      </c>
      <c r="AF149" s="266">
        <f t="shared" si="64"/>
        <v>11095140</v>
      </c>
      <c r="AG149" s="267">
        <f t="shared" si="65"/>
        <v>11095140</v>
      </c>
      <c r="AH149" s="268">
        <f t="shared" si="66"/>
        <v>0</v>
      </c>
      <c r="AI149" s="269">
        <f t="shared" si="62"/>
        <v>0</v>
      </c>
      <c r="AJ149" s="827" t="s">
        <v>4228</v>
      </c>
      <c r="AK149" s="916"/>
      <c r="AL149" s="916"/>
      <c r="AM149" s="915">
        <f t="shared" si="75"/>
        <v>12</v>
      </c>
      <c r="AN149" s="399"/>
    </row>
    <row r="150" spans="1:40" ht="202.5">
      <c r="A150" s="38">
        <v>124</v>
      </c>
      <c r="B150" s="331" t="s">
        <v>2813</v>
      </c>
      <c r="C150" s="259" t="s">
        <v>126</v>
      </c>
      <c r="D150" s="260">
        <v>123</v>
      </c>
      <c r="E150" s="351" t="s">
        <v>204</v>
      </c>
      <c r="F150" s="331" t="s">
        <v>2813</v>
      </c>
      <c r="G150" s="259" t="s">
        <v>126</v>
      </c>
      <c r="H150" s="258">
        <f t="shared" si="67"/>
        <v>12</v>
      </c>
      <c r="I150" s="318" t="s">
        <v>212</v>
      </c>
      <c r="J150" s="260"/>
      <c r="K150" s="260">
        <v>6</v>
      </c>
      <c r="L150" s="260">
        <v>6</v>
      </c>
      <c r="M150" s="260"/>
      <c r="N150" s="261">
        <f t="shared" si="79"/>
        <v>3</v>
      </c>
      <c r="O150" s="262">
        <v>3</v>
      </c>
      <c r="P150" s="262"/>
      <c r="Q150" s="262"/>
      <c r="R150" s="261">
        <f t="shared" si="76"/>
        <v>3</v>
      </c>
      <c r="S150" s="262"/>
      <c r="T150" s="262">
        <v>3</v>
      </c>
      <c r="U150" s="261">
        <f t="shared" si="77"/>
        <v>3</v>
      </c>
      <c r="V150" s="262"/>
      <c r="W150" s="262">
        <v>3</v>
      </c>
      <c r="X150" s="262"/>
      <c r="Y150" s="261">
        <f t="shared" si="74"/>
        <v>3</v>
      </c>
      <c r="Z150" s="262">
        <v>3</v>
      </c>
      <c r="AA150" s="262"/>
      <c r="AB150" s="261"/>
      <c r="AC150" s="263"/>
      <c r="AD150" s="264">
        <v>320100</v>
      </c>
      <c r="AE150" s="265">
        <f t="shared" si="63"/>
        <v>3841200</v>
      </c>
      <c r="AF150" s="266">
        <f t="shared" si="64"/>
        <v>0</v>
      </c>
      <c r="AG150" s="267">
        <f t="shared" si="65"/>
        <v>1920600</v>
      </c>
      <c r="AH150" s="268">
        <f t="shared" si="66"/>
        <v>1920600</v>
      </c>
      <c r="AI150" s="269">
        <f t="shared" si="62"/>
        <v>0</v>
      </c>
      <c r="AJ150" s="827" t="s">
        <v>4228</v>
      </c>
      <c r="AK150" s="916"/>
      <c r="AL150" s="916"/>
      <c r="AM150" s="915">
        <f t="shared" si="75"/>
        <v>12</v>
      </c>
      <c r="AN150" s="399"/>
    </row>
    <row r="151" spans="1:40" ht="324">
      <c r="A151" s="38">
        <v>125</v>
      </c>
      <c r="B151" s="330" t="s">
        <v>2814</v>
      </c>
      <c r="C151" s="258" t="s">
        <v>126</v>
      </c>
      <c r="D151" s="260">
        <v>124</v>
      </c>
      <c r="E151" s="351" t="s">
        <v>122</v>
      </c>
      <c r="F151" s="330" t="s">
        <v>2814</v>
      </c>
      <c r="G151" s="258" t="s">
        <v>126</v>
      </c>
      <c r="H151" s="258">
        <f t="shared" si="67"/>
        <v>4</v>
      </c>
      <c r="I151" s="318" t="s">
        <v>167</v>
      </c>
      <c r="J151" s="260">
        <v>1</v>
      </c>
      <c r="K151" s="260">
        <v>2</v>
      </c>
      <c r="L151" s="260">
        <v>1</v>
      </c>
      <c r="M151" s="260"/>
      <c r="N151" s="261">
        <f t="shared" si="79"/>
        <v>0</v>
      </c>
      <c r="O151" s="262">
        <v>0</v>
      </c>
      <c r="P151" s="262">
        <v>0</v>
      </c>
      <c r="Q151" s="262">
        <v>0</v>
      </c>
      <c r="R151" s="261">
        <f t="shared" si="76"/>
        <v>0</v>
      </c>
      <c r="S151" s="262"/>
      <c r="T151" s="262"/>
      <c r="U151" s="261">
        <f t="shared" si="77"/>
        <v>4</v>
      </c>
      <c r="V151" s="262"/>
      <c r="W151" s="262"/>
      <c r="X151" s="262">
        <v>4</v>
      </c>
      <c r="Y151" s="261">
        <f t="shared" si="74"/>
        <v>0</v>
      </c>
      <c r="Z151" s="262"/>
      <c r="AA151" s="262"/>
      <c r="AB151" s="261"/>
      <c r="AC151" s="263"/>
      <c r="AD151" s="264">
        <v>8226240</v>
      </c>
      <c r="AE151" s="265">
        <f t="shared" si="63"/>
        <v>32904960</v>
      </c>
      <c r="AF151" s="266">
        <f t="shared" si="64"/>
        <v>8226240</v>
      </c>
      <c r="AG151" s="267">
        <f t="shared" si="65"/>
        <v>16452480</v>
      </c>
      <c r="AH151" s="268">
        <f t="shared" si="66"/>
        <v>8226240</v>
      </c>
      <c r="AI151" s="269">
        <f t="shared" si="62"/>
        <v>0</v>
      </c>
      <c r="AJ151" s="827" t="s">
        <v>4228</v>
      </c>
      <c r="AK151" s="916"/>
      <c r="AL151" s="916"/>
      <c r="AM151" s="915">
        <f t="shared" si="75"/>
        <v>4</v>
      </c>
      <c r="AN151" s="399"/>
    </row>
    <row r="152" spans="1:40" ht="324">
      <c r="A152" s="38">
        <v>126</v>
      </c>
      <c r="B152" s="258" t="s">
        <v>2815</v>
      </c>
      <c r="C152" s="258" t="s">
        <v>126</v>
      </c>
      <c r="D152" s="260">
        <v>125</v>
      </c>
      <c r="E152" s="351" t="s">
        <v>206</v>
      </c>
      <c r="F152" s="258" t="s">
        <v>2815</v>
      </c>
      <c r="G152" s="258" t="s">
        <v>126</v>
      </c>
      <c r="H152" s="419">
        <v>10</v>
      </c>
      <c r="I152" s="318" t="s">
        <v>205</v>
      </c>
      <c r="J152" s="260">
        <v>2</v>
      </c>
      <c r="K152" s="260">
        <v>4</v>
      </c>
      <c r="L152" s="260">
        <v>4</v>
      </c>
      <c r="M152" s="260"/>
      <c r="N152" s="261">
        <f t="shared" si="79"/>
        <v>0</v>
      </c>
      <c r="O152" s="262">
        <v>0</v>
      </c>
      <c r="P152" s="262">
        <v>0</v>
      </c>
      <c r="Q152" s="262">
        <v>0</v>
      </c>
      <c r="R152" s="261">
        <f t="shared" si="76"/>
        <v>5</v>
      </c>
      <c r="S152" s="262">
        <v>5</v>
      </c>
      <c r="T152" s="262"/>
      <c r="U152" s="261">
        <f t="shared" si="77"/>
        <v>10</v>
      </c>
      <c r="V152" s="262"/>
      <c r="W152" s="262"/>
      <c r="X152" s="262">
        <v>10</v>
      </c>
      <c r="Y152" s="261">
        <f t="shared" si="74"/>
        <v>5</v>
      </c>
      <c r="Z152" s="262">
        <v>5</v>
      </c>
      <c r="AA152" s="262"/>
      <c r="AB152" s="261"/>
      <c r="AC152" s="263"/>
      <c r="AD152" s="264">
        <v>2433520</v>
      </c>
      <c r="AE152" s="265">
        <f t="shared" si="63"/>
        <v>24335200</v>
      </c>
      <c r="AF152" s="266">
        <f t="shared" si="64"/>
        <v>4867040</v>
      </c>
      <c r="AG152" s="267">
        <f t="shared" si="65"/>
        <v>9734080</v>
      </c>
      <c r="AH152" s="268">
        <f t="shared" si="66"/>
        <v>9734080</v>
      </c>
      <c r="AI152" s="269">
        <f t="shared" si="62"/>
        <v>0</v>
      </c>
      <c r="AJ152" s="827" t="s">
        <v>4228</v>
      </c>
      <c r="AK152" s="916" t="s">
        <v>4734</v>
      </c>
      <c r="AL152" s="916">
        <v>5</v>
      </c>
      <c r="AM152" s="915">
        <f t="shared" si="75"/>
        <v>5</v>
      </c>
      <c r="AN152" s="399">
        <v>7875000</v>
      </c>
    </row>
    <row r="153" spans="1:40" s="5" customFormat="1" ht="20.25">
      <c r="A153" s="895"/>
      <c r="B153" s="248"/>
      <c r="C153" s="248"/>
      <c r="D153" s="250">
        <v>24</v>
      </c>
      <c r="E153" s="352" t="s">
        <v>123</v>
      </c>
      <c r="F153" s="248"/>
      <c r="G153" s="248"/>
      <c r="H153" s="322">
        <f>N153+R153+U153+Y153+AB153+AC153</f>
        <v>50</v>
      </c>
      <c r="I153" s="249"/>
      <c r="J153" s="250">
        <f>J154+J155</f>
        <v>0</v>
      </c>
      <c r="K153" s="250">
        <f>K154+K155</f>
        <v>0</v>
      </c>
      <c r="L153" s="250">
        <f>L154+L155</f>
        <v>50</v>
      </c>
      <c r="M153" s="250">
        <f>M154+M155</f>
        <v>0</v>
      </c>
      <c r="N153" s="324">
        <f>N154+N155</f>
        <v>10</v>
      </c>
      <c r="O153" s="324">
        <f t="shared" ref="O153:AC153" si="81">O154+O155</f>
        <v>4</v>
      </c>
      <c r="P153" s="324">
        <f t="shared" si="81"/>
        <v>4</v>
      </c>
      <c r="Q153" s="324">
        <f t="shared" si="81"/>
        <v>2</v>
      </c>
      <c r="R153" s="324">
        <f t="shared" si="81"/>
        <v>10</v>
      </c>
      <c r="S153" s="324">
        <f t="shared" si="81"/>
        <v>6</v>
      </c>
      <c r="T153" s="324">
        <f t="shared" si="81"/>
        <v>4</v>
      </c>
      <c r="U153" s="324">
        <f t="shared" si="81"/>
        <v>12</v>
      </c>
      <c r="V153" s="324">
        <f t="shared" si="81"/>
        <v>4</v>
      </c>
      <c r="W153" s="324">
        <f t="shared" si="81"/>
        <v>4</v>
      </c>
      <c r="X153" s="324">
        <f t="shared" si="81"/>
        <v>4</v>
      </c>
      <c r="Y153" s="324">
        <f t="shared" si="81"/>
        <v>12</v>
      </c>
      <c r="Z153" s="324">
        <f t="shared" si="81"/>
        <v>6</v>
      </c>
      <c r="AA153" s="324">
        <f t="shared" si="81"/>
        <v>6</v>
      </c>
      <c r="AB153" s="324">
        <f t="shared" si="81"/>
        <v>6</v>
      </c>
      <c r="AC153" s="324">
        <f t="shared" si="81"/>
        <v>0</v>
      </c>
      <c r="AD153" s="332"/>
      <c r="AE153" s="254">
        <f>SUM(AE154:AE155)</f>
        <v>1315000</v>
      </c>
      <c r="AF153" s="255">
        <f>SUM(AF154:AF155)</f>
        <v>0</v>
      </c>
      <c r="AG153" s="256">
        <f>SUM(AG154:AG155)</f>
        <v>0</v>
      </c>
      <c r="AH153" s="255">
        <f>SUM(AH154:AH155)</f>
        <v>1315000</v>
      </c>
      <c r="AI153" s="333">
        <f t="shared" si="62"/>
        <v>0</v>
      </c>
      <c r="AJ153" s="333">
        <f t="shared" si="62"/>
        <v>13150000</v>
      </c>
      <c r="AK153" s="916"/>
      <c r="AL153" s="916"/>
      <c r="AM153" s="915">
        <f t="shared" si="75"/>
        <v>50</v>
      </c>
      <c r="AN153" s="399"/>
    </row>
    <row r="154" spans="1:40" ht="243">
      <c r="A154" s="38">
        <v>127</v>
      </c>
      <c r="B154" s="258" t="s">
        <v>124</v>
      </c>
      <c r="C154" s="258" t="s">
        <v>127</v>
      </c>
      <c r="D154" s="260">
        <v>126</v>
      </c>
      <c r="E154" s="351" t="s">
        <v>270</v>
      </c>
      <c r="F154" s="258" t="s">
        <v>124</v>
      </c>
      <c r="G154" s="258" t="s">
        <v>127</v>
      </c>
      <c r="H154" s="258">
        <f t="shared" si="67"/>
        <v>20</v>
      </c>
      <c r="I154" s="334" t="s">
        <v>211</v>
      </c>
      <c r="J154" s="260"/>
      <c r="K154" s="260"/>
      <c r="L154" s="260">
        <v>20</v>
      </c>
      <c r="M154" s="260"/>
      <c r="N154" s="261">
        <f t="shared" si="79"/>
        <v>4</v>
      </c>
      <c r="O154" s="262">
        <v>2</v>
      </c>
      <c r="P154" s="262">
        <v>0</v>
      </c>
      <c r="Q154" s="262">
        <v>2</v>
      </c>
      <c r="R154" s="261">
        <f t="shared" si="76"/>
        <v>4</v>
      </c>
      <c r="S154" s="262">
        <v>4</v>
      </c>
      <c r="T154" s="262"/>
      <c r="U154" s="261">
        <f t="shared" si="77"/>
        <v>4</v>
      </c>
      <c r="V154" s="262"/>
      <c r="W154" s="262">
        <v>4</v>
      </c>
      <c r="X154" s="262"/>
      <c r="Y154" s="261">
        <f t="shared" si="74"/>
        <v>6</v>
      </c>
      <c r="Z154" s="262">
        <v>4</v>
      </c>
      <c r="AA154" s="262">
        <v>2</v>
      </c>
      <c r="AB154" s="261">
        <v>2</v>
      </c>
      <c r="AC154" s="261"/>
      <c r="AD154" s="335">
        <v>29000</v>
      </c>
      <c r="AE154" s="336">
        <f>AD154*H154</f>
        <v>580000</v>
      </c>
      <c r="AF154" s="337">
        <f t="shared" si="64"/>
        <v>0</v>
      </c>
      <c r="AG154" s="338">
        <f t="shared" si="65"/>
        <v>0</v>
      </c>
      <c r="AH154" s="339">
        <f t="shared" si="66"/>
        <v>580000</v>
      </c>
      <c r="AI154" s="340">
        <f t="shared" si="62"/>
        <v>0</v>
      </c>
      <c r="AJ154" s="827" t="s">
        <v>4228</v>
      </c>
      <c r="AK154" s="916"/>
      <c r="AL154" s="916"/>
      <c r="AM154" s="915">
        <f t="shared" si="75"/>
        <v>20</v>
      </c>
      <c r="AN154" s="399"/>
    </row>
    <row r="155" spans="1:40" ht="162">
      <c r="A155" s="38">
        <v>128</v>
      </c>
      <c r="B155" s="258" t="s">
        <v>125</v>
      </c>
      <c r="C155" s="258" t="s">
        <v>127</v>
      </c>
      <c r="D155" s="260">
        <v>127</v>
      </c>
      <c r="E155" s="351" t="s">
        <v>271</v>
      </c>
      <c r="F155" s="258" t="s">
        <v>125</v>
      </c>
      <c r="G155" s="258" t="s">
        <v>127</v>
      </c>
      <c r="H155" s="258">
        <f t="shared" si="67"/>
        <v>30</v>
      </c>
      <c r="I155" s="334" t="s">
        <v>210</v>
      </c>
      <c r="J155" s="260"/>
      <c r="K155" s="260"/>
      <c r="L155" s="260">
        <v>30</v>
      </c>
      <c r="M155" s="260"/>
      <c r="N155" s="261">
        <f t="shared" si="79"/>
        <v>6</v>
      </c>
      <c r="O155" s="262">
        <v>2</v>
      </c>
      <c r="P155" s="262">
        <v>4</v>
      </c>
      <c r="Q155" s="262"/>
      <c r="R155" s="261">
        <f t="shared" si="76"/>
        <v>6</v>
      </c>
      <c r="S155" s="262">
        <v>2</v>
      </c>
      <c r="T155" s="262">
        <v>4</v>
      </c>
      <c r="U155" s="261">
        <f t="shared" si="77"/>
        <v>8</v>
      </c>
      <c r="V155" s="262">
        <v>4</v>
      </c>
      <c r="W155" s="262"/>
      <c r="X155" s="262">
        <v>4</v>
      </c>
      <c r="Y155" s="261">
        <f t="shared" si="74"/>
        <v>6</v>
      </c>
      <c r="Z155" s="262">
        <v>2</v>
      </c>
      <c r="AA155" s="262">
        <v>4</v>
      </c>
      <c r="AB155" s="261">
        <v>4</v>
      </c>
      <c r="AC155" s="261"/>
      <c r="AD155" s="341">
        <v>24500</v>
      </c>
      <c r="AE155" s="336">
        <f t="shared" si="63"/>
        <v>735000</v>
      </c>
      <c r="AF155" s="337">
        <f t="shared" si="64"/>
        <v>0</v>
      </c>
      <c r="AG155" s="338">
        <f t="shared" si="65"/>
        <v>0</v>
      </c>
      <c r="AH155" s="339">
        <f t="shared" si="66"/>
        <v>735000</v>
      </c>
      <c r="AI155" s="340">
        <f t="shared" si="62"/>
        <v>0</v>
      </c>
      <c r="AJ155" s="827" t="s">
        <v>4228</v>
      </c>
      <c r="AK155" s="916"/>
      <c r="AL155" s="916"/>
      <c r="AM155" s="915">
        <f t="shared" si="75"/>
        <v>30</v>
      </c>
      <c r="AN155" s="399"/>
    </row>
    <row r="156" spans="1:40" s="75" customFormat="1" ht="20.25">
      <c r="A156" s="38"/>
      <c r="B156" s="248"/>
      <c r="C156" s="248"/>
      <c r="D156" s="250"/>
      <c r="E156" s="352"/>
      <c r="F156" s="248"/>
      <c r="G156" s="248"/>
      <c r="H156" s="248"/>
      <c r="I156" s="248"/>
      <c r="J156" s="248"/>
      <c r="K156" s="250"/>
      <c r="L156" s="250"/>
      <c r="M156" s="250"/>
      <c r="N156" s="250"/>
      <c r="O156" s="250"/>
      <c r="P156" s="342"/>
      <c r="Q156" s="342"/>
      <c r="R156" s="342"/>
      <c r="S156" s="342"/>
      <c r="T156" s="342"/>
      <c r="U156" s="342"/>
      <c r="V156" s="342"/>
      <c r="W156" s="342"/>
      <c r="X156" s="342"/>
      <c r="Y156" s="342"/>
      <c r="Z156" s="342"/>
      <c r="AA156" s="342"/>
      <c r="AB156" s="342"/>
      <c r="AC156" s="342"/>
      <c r="AD156" s="343"/>
      <c r="AE156" s="254"/>
      <c r="AF156" s="255"/>
      <c r="AG156" s="256"/>
      <c r="AH156" s="255"/>
      <c r="AI156" s="344"/>
      <c r="AJ156" s="831"/>
      <c r="AK156" s="916"/>
      <c r="AL156" s="916"/>
      <c r="AM156" s="915">
        <f t="shared" si="75"/>
        <v>0</v>
      </c>
      <c r="AN156" s="399"/>
    </row>
    <row r="157" spans="1:40" s="75" customFormat="1" ht="20.25">
      <c r="A157" s="38"/>
      <c r="B157" s="248"/>
      <c r="C157" s="248"/>
      <c r="D157" s="250"/>
      <c r="E157" s="352"/>
      <c r="F157" s="248"/>
      <c r="G157" s="248"/>
      <c r="H157" s="248"/>
      <c r="I157" s="248"/>
      <c r="J157" s="248"/>
      <c r="K157" s="248"/>
      <c r="L157" s="250"/>
      <c r="M157" s="250"/>
      <c r="N157" s="250"/>
      <c r="O157" s="661"/>
      <c r="P157" s="262"/>
      <c r="Q157" s="262"/>
      <c r="R157" s="262"/>
      <c r="S157" s="262"/>
      <c r="T157" s="262"/>
      <c r="U157" s="262"/>
      <c r="V157" s="262"/>
      <c r="W157" s="262"/>
      <c r="X157" s="262"/>
      <c r="Y157" s="262"/>
      <c r="Z157" s="262"/>
      <c r="AA157" s="262"/>
      <c r="AB157" s="262"/>
      <c r="AC157" s="262"/>
      <c r="AD157" s="662"/>
      <c r="AE157" s="254"/>
      <c r="AF157" s="255"/>
      <c r="AG157" s="256"/>
      <c r="AH157" s="255"/>
      <c r="AI157" s="344"/>
      <c r="AJ157" s="831"/>
      <c r="AK157" s="916"/>
      <c r="AL157" s="916"/>
      <c r="AM157" s="915">
        <f t="shared" si="75"/>
        <v>0</v>
      </c>
      <c r="AN157" s="399"/>
    </row>
    <row r="158" spans="1:40" s="75" customFormat="1" ht="20.25">
      <c r="A158" s="38"/>
      <c r="B158" s="345"/>
      <c r="C158" s="295"/>
      <c r="D158" s="347"/>
      <c r="E158" s="368"/>
      <c r="F158" s="345"/>
      <c r="G158" s="295"/>
      <c r="H158" s="258"/>
      <c r="I158" s="258"/>
      <c r="J158" s="258"/>
      <c r="K158" s="258"/>
      <c r="L158" s="346"/>
      <c r="M158" s="346"/>
      <c r="N158" s="346"/>
      <c r="O158" s="660"/>
      <c r="P158" s="262"/>
      <c r="Q158" s="262"/>
      <c r="R158" s="261"/>
      <c r="S158" s="262"/>
      <c r="T158" s="262"/>
      <c r="U158" s="261"/>
      <c r="V158" s="262"/>
      <c r="W158" s="262"/>
      <c r="X158" s="262"/>
      <c r="Y158" s="261"/>
      <c r="Z158" s="262"/>
      <c r="AA158" s="262"/>
      <c r="AB158" s="261"/>
      <c r="AC158" s="261"/>
      <c r="AD158" s="335"/>
      <c r="AE158" s="336"/>
      <c r="AF158" s="337"/>
      <c r="AG158" s="338"/>
      <c r="AH158" s="339"/>
      <c r="AI158" s="340"/>
      <c r="AJ158" s="832"/>
      <c r="AK158" s="916"/>
      <c r="AL158" s="916"/>
      <c r="AM158" s="915">
        <f t="shared" si="75"/>
        <v>0</v>
      </c>
      <c r="AN158" s="399"/>
    </row>
    <row r="159" spans="1:40" s="75" customFormat="1" ht="40.5">
      <c r="A159" s="38"/>
      <c r="B159" s="248"/>
      <c r="C159" s="248"/>
      <c r="D159" s="250">
        <v>27</v>
      </c>
      <c r="E159" s="352" t="s">
        <v>2826</v>
      </c>
      <c r="F159" s="248"/>
      <c r="G159" s="248"/>
      <c r="H159" s="248">
        <v>10</v>
      </c>
      <c r="I159" s="248"/>
      <c r="J159" s="248"/>
      <c r="K159" s="248"/>
      <c r="L159" s="250">
        <v>10</v>
      </c>
      <c r="M159" s="250"/>
      <c r="N159" s="262"/>
      <c r="O159" s="262"/>
      <c r="P159" s="262"/>
      <c r="Q159" s="262"/>
      <c r="R159" s="262"/>
      <c r="S159" s="262"/>
      <c r="T159" s="262"/>
      <c r="U159" s="262"/>
      <c r="V159" s="262"/>
      <c r="W159" s="262"/>
      <c r="X159" s="262"/>
      <c r="Y159" s="262"/>
      <c r="Z159" s="262"/>
      <c r="AA159" s="262"/>
      <c r="AB159" s="262"/>
      <c r="AC159" s="262"/>
      <c r="AD159" s="662"/>
      <c r="AE159" s="254">
        <f>SUM(AE160:AE160)</f>
        <v>62000000</v>
      </c>
      <c r="AF159" s="255">
        <f>SUM(AF160:AF160)</f>
        <v>0</v>
      </c>
      <c r="AG159" s="256">
        <f>SUM(AG160:AG160)</f>
        <v>0</v>
      </c>
      <c r="AH159" s="255">
        <f>SUM(AH160:AH160)</f>
        <v>62000000</v>
      </c>
      <c r="AI159" s="344"/>
      <c r="AJ159" s="831"/>
      <c r="AK159" s="916"/>
      <c r="AL159" s="916"/>
      <c r="AM159" s="915">
        <f t="shared" si="75"/>
        <v>10</v>
      </c>
      <c r="AN159" s="399"/>
    </row>
    <row r="160" spans="1:40" s="75" customFormat="1" ht="204" customHeight="1">
      <c r="A160" s="38">
        <v>129</v>
      </c>
      <c r="B160" s="351" t="s">
        <v>3046</v>
      </c>
      <c r="C160" s="258" t="s">
        <v>2822</v>
      </c>
      <c r="D160" s="260">
        <v>132</v>
      </c>
      <c r="E160" s="351" t="s">
        <v>3060</v>
      </c>
      <c r="F160" s="663" t="s">
        <v>3061</v>
      </c>
      <c r="G160" s="258" t="s">
        <v>2822</v>
      </c>
      <c r="H160" s="419">
        <v>10</v>
      </c>
      <c r="I160" s="318" t="s">
        <v>3062</v>
      </c>
      <c r="J160" s="260"/>
      <c r="K160" s="260"/>
      <c r="L160" s="260">
        <v>10</v>
      </c>
      <c r="M160" s="260"/>
      <c r="N160" s="261"/>
      <c r="O160" s="262"/>
      <c r="P160" s="262"/>
      <c r="Q160" s="262"/>
      <c r="R160" s="261"/>
      <c r="S160" s="262"/>
      <c r="T160" s="262"/>
      <c r="U160" s="261"/>
      <c r="V160" s="262"/>
      <c r="W160" s="262"/>
      <c r="X160" s="262"/>
      <c r="Y160" s="261"/>
      <c r="Z160" s="262"/>
      <c r="AA160" s="262"/>
      <c r="AB160" s="261"/>
      <c r="AC160" s="261"/>
      <c r="AD160" s="264">
        <v>6200000</v>
      </c>
      <c r="AE160" s="822">
        <f>AD160*H160</f>
        <v>62000000</v>
      </c>
      <c r="AF160" s="337">
        <f t="shared" si="64"/>
        <v>0</v>
      </c>
      <c r="AG160" s="338">
        <f>AD160*K160</f>
        <v>0</v>
      </c>
      <c r="AH160" s="339">
        <f>AD160*L160</f>
        <v>62000000</v>
      </c>
      <c r="AI160" s="340">
        <f>AD160*M160</f>
        <v>0</v>
      </c>
      <c r="AJ160" s="827" t="s">
        <v>4228</v>
      </c>
      <c r="AK160" s="916"/>
      <c r="AL160" s="916"/>
      <c r="AM160" s="915">
        <f t="shared" si="75"/>
        <v>10</v>
      </c>
      <c r="AN160" s="399"/>
    </row>
    <row r="161" spans="2:36" s="13" customFormat="1" ht="20.25">
      <c r="B161" s="285"/>
      <c r="C161" s="285"/>
      <c r="D161" s="369"/>
      <c r="E161" s="285"/>
      <c r="F161" s="285"/>
      <c r="G161" s="285"/>
      <c r="H161" s="1110" t="s">
        <v>2817</v>
      </c>
      <c r="I161" s="1110"/>
      <c r="J161" s="1110"/>
      <c r="K161" s="1110"/>
      <c r="L161" s="1110"/>
      <c r="M161" s="1110"/>
      <c r="N161" s="1111"/>
      <c r="O161" s="1111"/>
      <c r="P161" s="1112"/>
      <c r="Q161" s="1112"/>
      <c r="R161" s="1112"/>
      <c r="S161" s="1112"/>
      <c r="T161" s="1112"/>
      <c r="U161" s="1112"/>
      <c r="V161" s="1112"/>
      <c r="W161" s="1112"/>
      <c r="X161" s="1112"/>
      <c r="Y161" s="1112"/>
      <c r="Z161" s="1112"/>
      <c r="AA161" s="1112"/>
      <c r="AB161" s="1112"/>
      <c r="AC161" s="1112"/>
      <c r="AD161" s="285"/>
      <c r="AE161" s="348">
        <f>SUM(AE159,AE157,AE156,AE153,AE145,AE144,AE143,AE136,AE131,AE127,AE124,AE118,AE111,AE107,AE101,AE91,AE84,AE76,AE69,AE63,AE58,AE51,AE42,AE33,AE29,AE19,AE10,AE3)</f>
        <v>7489132332.5</v>
      </c>
      <c r="AF161" s="348">
        <f>SUM(AF159,AF157,AF156,AF153,AF145,AF144,AF143,AF136,AF131,AF127,AF124,AF118,AF111,AF107,AF101,AF91,AF84,AF76,AF69,AF63,AF58,AF51,AF42,AF33,AF29,AF19,AF10,AF3)</f>
        <v>1576773938</v>
      </c>
      <c r="AG161" s="403">
        <f>SUM(AG159,AG157,AG156,AG145,AG144,AG143,AG136,AG131,AG127,AG124,AG118,AG111,AG107,AG101,AG91,AG84,AG76,AG69,AG63,AG58,AG51,AG42,AG33,AG29,AG19,AG10,AG3)</f>
        <v>2961827689</v>
      </c>
      <c r="AH161" s="348">
        <f>SUM(AH159,AH157,AH156,AH153,AH145,AH144,AH143,AH136,AH131,AH127,AH124,AH118,AH111,AH107,AH101,AH91,AH84,AH76,AH69,AH63,AH58,AH51,AH42,AH33,AH29,AH19,AH10,AH3)</f>
        <v>2950530705.5</v>
      </c>
      <c r="AI161" s="348">
        <f>SUM(AI159,AI157,AI156,AI153,AI145,AI136,AI131,AI127,AI124,AI118,AI111,AI107,AI101,AI91,AI84,AI76,AI69,AI63,AI58,AI51,AI42,AI33,AI29,AI19,AI10,AI3)</f>
        <v>0</v>
      </c>
      <c r="AJ161" s="348"/>
    </row>
    <row r="162" spans="2:36" s="13" customFormat="1">
      <c r="B162" s="12"/>
      <c r="L162" s="14"/>
      <c r="M162" s="14"/>
      <c r="N162" s="14"/>
      <c r="O162" s="15"/>
      <c r="P162" s="15"/>
      <c r="Q162" s="15"/>
      <c r="R162" s="15"/>
      <c r="S162" s="15"/>
      <c r="T162" s="15"/>
      <c r="U162" s="15"/>
      <c r="V162" s="15"/>
      <c r="W162" s="15"/>
      <c r="X162" s="15"/>
      <c r="Y162" s="15"/>
      <c r="Z162" s="15"/>
      <c r="AA162" s="15"/>
    </row>
    <row r="163" spans="2:36" s="13" customFormat="1">
      <c r="B163" s="12"/>
      <c r="L163" s="14"/>
      <c r="M163" s="14"/>
      <c r="N163" s="14"/>
      <c r="O163" s="15"/>
      <c r="P163" s="15"/>
      <c r="Q163" s="15"/>
      <c r="R163" s="15"/>
      <c r="S163" s="15"/>
      <c r="T163" s="15"/>
      <c r="U163" s="15"/>
      <c r="V163" s="15"/>
      <c r="W163" s="15"/>
      <c r="X163" s="15"/>
      <c r="Y163" s="15"/>
      <c r="Z163" s="15"/>
      <c r="AA163" s="15"/>
    </row>
    <row r="164" spans="2:36" s="13" customFormat="1">
      <c r="B164" s="12"/>
      <c r="L164" s="14"/>
      <c r="M164" s="14"/>
      <c r="N164" s="14"/>
      <c r="O164" s="15"/>
      <c r="P164" s="15"/>
      <c r="Q164" s="15"/>
      <c r="R164" s="15"/>
      <c r="S164" s="15"/>
      <c r="T164" s="15"/>
      <c r="U164" s="15"/>
      <c r="V164" s="15"/>
      <c r="W164" s="15"/>
      <c r="X164" s="15"/>
      <c r="Y164" s="15"/>
      <c r="Z164" s="15"/>
      <c r="AA164" s="15"/>
      <c r="AG164" s="402"/>
    </row>
    <row r="165" spans="2:36" s="13" customFormat="1">
      <c r="B165" s="12"/>
      <c r="L165" s="14"/>
      <c r="M165" s="14"/>
      <c r="N165" s="14"/>
      <c r="O165" s="15"/>
      <c r="P165" s="15"/>
      <c r="Q165" s="15"/>
      <c r="R165" s="15"/>
      <c r="S165" s="15"/>
      <c r="T165" s="15"/>
      <c r="U165" s="15"/>
      <c r="V165" s="15"/>
      <c r="W165" s="15"/>
      <c r="X165" s="15"/>
      <c r="Y165" s="15"/>
      <c r="Z165" s="15"/>
      <c r="AA165" s="15"/>
      <c r="AE165" s="402"/>
    </row>
    <row r="166" spans="2:36" s="13" customFormat="1">
      <c r="B166" s="12"/>
      <c r="L166" s="14"/>
      <c r="M166" s="14"/>
      <c r="N166" s="14"/>
      <c r="O166" s="15"/>
      <c r="P166" s="15"/>
      <c r="Q166" s="15"/>
      <c r="R166" s="15"/>
      <c r="S166" s="15"/>
      <c r="T166" s="15"/>
      <c r="U166" s="15"/>
      <c r="V166" s="15"/>
      <c r="W166" s="15"/>
      <c r="X166" s="15"/>
      <c r="Y166" s="15"/>
      <c r="Z166" s="15"/>
      <c r="AA166" s="15"/>
    </row>
    <row r="167" spans="2:36" s="13" customFormat="1">
      <c r="B167" s="12"/>
      <c r="L167" s="14"/>
      <c r="M167" s="14"/>
      <c r="N167" s="14"/>
      <c r="O167" s="15"/>
      <c r="P167" s="15"/>
      <c r="Q167" s="15"/>
      <c r="R167" s="15"/>
      <c r="S167" s="15"/>
      <c r="T167" s="15"/>
      <c r="U167" s="15"/>
      <c r="V167" s="15"/>
      <c r="W167" s="15"/>
      <c r="X167" s="15"/>
      <c r="Y167" s="15"/>
      <c r="Z167" s="15"/>
      <c r="AA167" s="15"/>
      <c r="AG167" s="402"/>
    </row>
    <row r="168" spans="2:36" s="13" customFormat="1">
      <c r="B168" s="12"/>
      <c r="L168" s="14"/>
      <c r="M168" s="14"/>
      <c r="N168" s="14"/>
      <c r="O168" s="15"/>
      <c r="P168" s="15"/>
      <c r="Q168" s="15"/>
      <c r="R168" s="15"/>
      <c r="S168" s="15"/>
      <c r="T168" s="15"/>
      <c r="U168" s="15"/>
      <c r="V168" s="15"/>
      <c r="W168" s="15"/>
      <c r="X168" s="15"/>
      <c r="Y168" s="15"/>
      <c r="Z168" s="15"/>
      <c r="AA168" s="15"/>
    </row>
    <row r="169" spans="2:36" s="13" customFormat="1">
      <c r="B169" s="12"/>
      <c r="L169" s="14"/>
      <c r="M169" s="14"/>
      <c r="N169" s="14"/>
      <c r="O169" s="15"/>
      <c r="P169" s="15"/>
      <c r="Q169" s="15"/>
      <c r="R169" s="15"/>
      <c r="S169" s="15"/>
      <c r="T169" s="15"/>
      <c r="U169" s="15"/>
      <c r="V169" s="15"/>
      <c r="W169" s="15"/>
      <c r="X169" s="15"/>
      <c r="Y169" s="15"/>
      <c r="Z169" s="15"/>
      <c r="AA169" s="15"/>
    </row>
    <row r="170" spans="2:36" s="13" customFormat="1">
      <c r="B170" s="12"/>
      <c r="L170" s="14"/>
      <c r="M170" s="14"/>
      <c r="N170" s="14"/>
      <c r="O170" s="15"/>
      <c r="P170" s="15"/>
      <c r="Q170" s="15"/>
      <c r="R170" s="15"/>
      <c r="S170" s="15"/>
      <c r="T170" s="15"/>
      <c r="U170" s="15"/>
      <c r="V170" s="15"/>
      <c r="W170" s="15"/>
      <c r="X170" s="15"/>
      <c r="Y170" s="15"/>
      <c r="Z170" s="15"/>
      <c r="AA170" s="15"/>
    </row>
    <row r="171" spans="2:36" s="13" customFormat="1">
      <c r="B171" s="12"/>
      <c r="L171" s="14"/>
      <c r="M171" s="14"/>
      <c r="N171" s="14"/>
      <c r="O171" s="15"/>
      <c r="P171" s="15"/>
      <c r="Q171" s="15"/>
      <c r="R171" s="15"/>
      <c r="S171" s="15"/>
      <c r="T171" s="15"/>
      <c r="U171" s="15"/>
      <c r="V171" s="15"/>
      <c r="W171" s="15"/>
      <c r="X171" s="15"/>
      <c r="Y171" s="15"/>
      <c r="Z171" s="15"/>
      <c r="AA171" s="15"/>
    </row>
    <row r="172" spans="2:36" s="13" customFormat="1">
      <c r="B172" s="12"/>
      <c r="L172" s="14"/>
      <c r="M172" s="14"/>
      <c r="N172" s="14"/>
      <c r="O172" s="15"/>
      <c r="P172" s="15"/>
      <c r="Q172" s="15"/>
      <c r="R172" s="15"/>
      <c r="S172" s="15"/>
      <c r="T172" s="15"/>
      <c r="U172" s="15"/>
      <c r="V172" s="15"/>
      <c r="W172" s="15"/>
      <c r="X172" s="15"/>
      <c r="Y172" s="15"/>
      <c r="Z172" s="15"/>
      <c r="AA172" s="15"/>
    </row>
    <row r="173" spans="2:36" s="13" customFormat="1">
      <c r="B173" s="12"/>
      <c r="L173" s="14"/>
      <c r="M173" s="14"/>
      <c r="N173" s="14"/>
      <c r="O173" s="15"/>
      <c r="P173" s="15"/>
      <c r="Q173" s="15"/>
      <c r="R173" s="15"/>
      <c r="S173" s="15"/>
      <c r="T173" s="15"/>
      <c r="U173" s="15"/>
      <c r="V173" s="15"/>
      <c r="W173" s="15"/>
      <c r="X173" s="15"/>
      <c r="Y173" s="15"/>
      <c r="Z173" s="15"/>
      <c r="AA173" s="15"/>
    </row>
    <row r="174" spans="2:36" s="13" customFormat="1">
      <c r="B174" s="12"/>
      <c r="L174" s="14"/>
      <c r="M174" s="14"/>
      <c r="N174" s="14"/>
      <c r="O174" s="15"/>
      <c r="P174" s="15"/>
      <c r="Q174" s="15"/>
      <c r="R174" s="15"/>
      <c r="S174" s="15"/>
      <c r="T174" s="15"/>
      <c r="U174" s="15"/>
      <c r="V174" s="15"/>
      <c r="W174" s="15"/>
      <c r="X174" s="15"/>
      <c r="Y174" s="15"/>
      <c r="Z174" s="15"/>
      <c r="AA174" s="15"/>
    </row>
    <row r="175" spans="2:36" s="13" customFormat="1">
      <c r="B175" s="12"/>
      <c r="L175" s="14"/>
      <c r="M175" s="14"/>
      <c r="N175" s="14"/>
      <c r="O175" s="15"/>
      <c r="P175" s="15"/>
      <c r="Q175" s="15"/>
      <c r="R175" s="15"/>
      <c r="S175" s="15"/>
      <c r="T175" s="15"/>
      <c r="U175" s="15"/>
      <c r="V175" s="15"/>
      <c r="W175" s="15"/>
      <c r="X175" s="15"/>
      <c r="Y175" s="15"/>
      <c r="Z175" s="15"/>
      <c r="AA175" s="15"/>
    </row>
    <row r="176" spans="2:36" s="13" customFormat="1">
      <c r="B176" s="12"/>
      <c r="L176" s="14"/>
      <c r="M176" s="14"/>
      <c r="N176" s="14"/>
      <c r="O176" s="15"/>
      <c r="P176" s="15"/>
      <c r="Q176" s="15"/>
      <c r="R176" s="15"/>
      <c r="S176" s="15"/>
      <c r="T176" s="15"/>
      <c r="U176" s="15"/>
      <c r="V176" s="15"/>
      <c r="W176" s="15"/>
      <c r="X176" s="15"/>
      <c r="Y176" s="15"/>
      <c r="Z176" s="15"/>
      <c r="AA176" s="15"/>
    </row>
    <row r="177" spans="2:27" s="13" customFormat="1">
      <c r="B177" s="12"/>
      <c r="L177" s="14"/>
      <c r="M177" s="14"/>
      <c r="N177" s="14"/>
      <c r="O177" s="15"/>
      <c r="P177" s="15"/>
      <c r="Q177" s="15"/>
      <c r="R177" s="15"/>
      <c r="S177" s="15"/>
      <c r="T177" s="15"/>
      <c r="U177" s="15"/>
      <c r="V177" s="15"/>
      <c r="W177" s="15"/>
      <c r="X177" s="15"/>
      <c r="Y177" s="15"/>
      <c r="Z177" s="15"/>
      <c r="AA177" s="15"/>
    </row>
    <row r="178" spans="2:27" s="13" customFormat="1">
      <c r="B178" s="12"/>
      <c r="L178" s="14"/>
      <c r="M178" s="14"/>
      <c r="N178" s="14"/>
      <c r="O178" s="15"/>
      <c r="P178" s="15"/>
      <c r="Q178" s="15"/>
      <c r="R178" s="15"/>
      <c r="S178" s="15"/>
      <c r="T178" s="15"/>
      <c r="U178" s="15"/>
      <c r="V178" s="15"/>
      <c r="W178" s="15"/>
      <c r="X178" s="15"/>
      <c r="Y178" s="15"/>
      <c r="Z178" s="15"/>
      <c r="AA178" s="15"/>
    </row>
    <row r="179" spans="2:27" s="13" customFormat="1">
      <c r="B179" s="12"/>
      <c r="L179" s="14"/>
      <c r="M179" s="14"/>
      <c r="N179" s="14"/>
      <c r="O179" s="15"/>
      <c r="P179" s="15"/>
      <c r="Q179" s="15"/>
      <c r="R179" s="15"/>
      <c r="S179" s="15"/>
      <c r="T179" s="15"/>
      <c r="U179" s="15"/>
      <c r="V179" s="15"/>
      <c r="W179" s="15"/>
      <c r="X179" s="15"/>
      <c r="Y179" s="15"/>
      <c r="Z179" s="15"/>
      <c r="AA179" s="15"/>
    </row>
    <row r="180" spans="2:27" s="13" customFormat="1">
      <c r="B180" s="12"/>
      <c r="L180" s="14"/>
      <c r="M180" s="14"/>
      <c r="N180" s="14"/>
      <c r="O180" s="15"/>
      <c r="P180" s="15"/>
      <c r="Q180" s="15"/>
      <c r="R180" s="15"/>
      <c r="S180" s="15"/>
      <c r="T180" s="15"/>
      <c r="U180" s="15"/>
      <c r="V180" s="15"/>
      <c r="W180" s="15"/>
      <c r="X180" s="15"/>
      <c r="Y180" s="15"/>
      <c r="Z180" s="15"/>
      <c r="AA180" s="15"/>
    </row>
    <row r="181" spans="2:27" s="13" customFormat="1">
      <c r="B181" s="12"/>
      <c r="L181" s="14"/>
      <c r="M181" s="14"/>
      <c r="N181" s="14"/>
      <c r="O181" s="15"/>
      <c r="P181" s="15"/>
      <c r="Q181" s="15"/>
      <c r="R181" s="15"/>
      <c r="S181" s="15"/>
      <c r="T181" s="15"/>
      <c r="U181" s="15"/>
      <c r="V181" s="15"/>
      <c r="W181" s="15"/>
      <c r="X181" s="15"/>
      <c r="Y181" s="15"/>
      <c r="Z181" s="15"/>
      <c r="AA181" s="15"/>
    </row>
    <row r="182" spans="2:27" s="13" customFormat="1">
      <c r="B182" s="12"/>
      <c r="L182" s="14"/>
      <c r="M182" s="14"/>
      <c r="N182" s="14"/>
      <c r="O182" s="15"/>
      <c r="P182" s="15"/>
      <c r="Q182" s="15"/>
      <c r="R182" s="15"/>
      <c r="S182" s="15"/>
      <c r="T182" s="15"/>
      <c r="U182" s="15"/>
      <c r="V182" s="15"/>
      <c r="W182" s="15"/>
      <c r="X182" s="15"/>
      <c r="Y182" s="15"/>
      <c r="Z182" s="15"/>
      <c r="AA182" s="15"/>
    </row>
    <row r="183" spans="2:27" s="13" customFormat="1">
      <c r="B183" s="12"/>
      <c r="L183" s="14"/>
      <c r="M183" s="14"/>
      <c r="N183" s="14"/>
      <c r="O183" s="15"/>
      <c r="P183" s="15"/>
      <c r="Q183" s="15"/>
      <c r="R183" s="15"/>
      <c r="S183" s="15"/>
      <c r="T183" s="15"/>
      <c r="U183" s="15"/>
      <c r="V183" s="15"/>
      <c r="W183" s="15"/>
      <c r="X183" s="15"/>
      <c r="Y183" s="15"/>
      <c r="Z183" s="15"/>
      <c r="AA183" s="15"/>
    </row>
    <row r="184" spans="2:27" s="13" customFormat="1">
      <c r="B184" s="12"/>
      <c r="L184" s="14"/>
      <c r="M184" s="14"/>
      <c r="N184" s="14"/>
      <c r="O184" s="15"/>
      <c r="P184" s="15"/>
      <c r="Q184" s="15"/>
      <c r="R184" s="15"/>
      <c r="S184" s="15"/>
      <c r="T184" s="15"/>
      <c r="U184" s="15"/>
      <c r="V184" s="15"/>
      <c r="W184" s="15"/>
      <c r="X184" s="15"/>
      <c r="Y184" s="15"/>
      <c r="Z184" s="15"/>
      <c r="AA184" s="15"/>
    </row>
    <row r="185" spans="2:27" s="13" customFormat="1">
      <c r="B185" s="12"/>
      <c r="L185" s="14"/>
      <c r="M185" s="14"/>
      <c r="N185" s="14"/>
      <c r="O185" s="15"/>
      <c r="P185" s="15"/>
      <c r="Q185" s="15"/>
      <c r="R185" s="15"/>
      <c r="S185" s="15"/>
      <c r="T185" s="15"/>
      <c r="U185" s="15"/>
      <c r="V185" s="15"/>
      <c r="W185" s="15"/>
      <c r="X185" s="15"/>
      <c r="Y185" s="15"/>
      <c r="Z185" s="15"/>
      <c r="AA185" s="15"/>
    </row>
    <row r="186" spans="2:27" s="13" customFormat="1">
      <c r="B186" s="12"/>
      <c r="L186" s="14"/>
      <c r="M186" s="14"/>
      <c r="N186" s="14"/>
      <c r="O186" s="15"/>
      <c r="P186" s="15"/>
      <c r="Q186" s="15"/>
      <c r="R186" s="15"/>
      <c r="S186" s="15"/>
      <c r="T186" s="15"/>
      <c r="U186" s="15"/>
      <c r="V186" s="15"/>
      <c r="W186" s="15"/>
      <c r="X186" s="15"/>
      <c r="Y186" s="15"/>
      <c r="Z186" s="15"/>
      <c r="AA186" s="15"/>
    </row>
    <row r="187" spans="2:27" s="13" customFormat="1">
      <c r="B187" s="12"/>
      <c r="L187" s="14"/>
      <c r="M187" s="14"/>
      <c r="N187" s="14"/>
      <c r="O187" s="15"/>
      <c r="P187" s="15"/>
      <c r="Q187" s="15"/>
      <c r="R187" s="15"/>
      <c r="S187" s="15"/>
      <c r="T187" s="15"/>
      <c r="U187" s="15"/>
      <c r="V187" s="15"/>
      <c r="W187" s="15"/>
      <c r="X187" s="15"/>
      <c r="Y187" s="15"/>
      <c r="Z187" s="15"/>
      <c r="AA187" s="15"/>
    </row>
    <row r="188" spans="2:27" s="13" customFormat="1">
      <c r="B188" s="12"/>
      <c r="L188" s="14"/>
      <c r="M188" s="14"/>
      <c r="N188" s="14"/>
      <c r="O188" s="15"/>
      <c r="P188" s="15"/>
      <c r="Q188" s="15"/>
      <c r="R188" s="15"/>
      <c r="S188" s="15"/>
      <c r="T188" s="15"/>
      <c r="U188" s="15"/>
      <c r="V188" s="15"/>
      <c r="W188" s="15"/>
      <c r="X188" s="15"/>
      <c r="Y188" s="15"/>
      <c r="Z188" s="15"/>
      <c r="AA188" s="15"/>
    </row>
    <row r="189" spans="2:27" s="13" customFormat="1">
      <c r="B189" s="12"/>
      <c r="L189" s="14"/>
      <c r="M189" s="14"/>
      <c r="N189" s="14"/>
      <c r="O189" s="15"/>
      <c r="P189" s="15"/>
      <c r="Q189" s="15"/>
      <c r="R189" s="15"/>
      <c r="S189" s="15"/>
      <c r="T189" s="15"/>
      <c r="U189" s="15"/>
      <c r="V189" s="15"/>
      <c r="W189" s="15"/>
      <c r="X189" s="15"/>
      <c r="Y189" s="15"/>
      <c r="Z189" s="15"/>
      <c r="AA189" s="15"/>
    </row>
    <row r="190" spans="2:27" s="13" customFormat="1">
      <c r="B190" s="12"/>
      <c r="L190" s="14"/>
      <c r="M190" s="14"/>
      <c r="N190" s="14"/>
      <c r="O190" s="15"/>
      <c r="P190" s="15"/>
      <c r="Q190" s="15"/>
      <c r="R190" s="15"/>
      <c r="S190" s="15"/>
      <c r="T190" s="15"/>
      <c r="U190" s="15"/>
      <c r="V190" s="15"/>
      <c r="W190" s="15"/>
      <c r="X190" s="15"/>
      <c r="Y190" s="15"/>
      <c r="Z190" s="15"/>
      <c r="AA190" s="15"/>
    </row>
    <row r="191" spans="2:27" s="13" customFormat="1">
      <c r="B191" s="12"/>
      <c r="L191" s="14"/>
      <c r="M191" s="14"/>
      <c r="N191" s="14"/>
      <c r="O191" s="15"/>
      <c r="P191" s="15"/>
      <c r="Q191" s="15"/>
      <c r="R191" s="15"/>
      <c r="S191" s="15"/>
      <c r="T191" s="15"/>
      <c r="U191" s="15"/>
      <c r="V191" s="15"/>
      <c r="W191" s="15"/>
      <c r="X191" s="15"/>
      <c r="Y191" s="15"/>
      <c r="Z191" s="15"/>
      <c r="AA191" s="15"/>
    </row>
    <row r="192" spans="2:27" s="13" customFormat="1">
      <c r="B192" s="12"/>
      <c r="L192" s="14"/>
      <c r="M192" s="14"/>
      <c r="N192" s="14"/>
      <c r="O192" s="15"/>
      <c r="P192" s="15"/>
      <c r="Q192" s="15"/>
      <c r="R192" s="15"/>
      <c r="S192" s="15"/>
      <c r="T192" s="15"/>
      <c r="U192" s="15"/>
      <c r="V192" s="15"/>
      <c r="W192" s="15"/>
      <c r="X192" s="15"/>
      <c r="Y192" s="15"/>
      <c r="Z192" s="15"/>
      <c r="AA192" s="15"/>
    </row>
    <row r="193" spans="2:27" s="13" customFormat="1">
      <c r="B193" s="12"/>
      <c r="L193" s="14"/>
      <c r="M193" s="14"/>
      <c r="N193" s="14"/>
      <c r="O193" s="15"/>
      <c r="P193" s="15"/>
      <c r="Q193" s="15"/>
      <c r="R193" s="15"/>
      <c r="S193" s="15"/>
      <c r="T193" s="15"/>
      <c r="U193" s="15"/>
      <c r="V193" s="15"/>
      <c r="W193" s="15"/>
      <c r="X193" s="15"/>
      <c r="Y193" s="15"/>
      <c r="Z193" s="15"/>
      <c r="AA193" s="15"/>
    </row>
    <row r="194" spans="2:27" s="13" customFormat="1">
      <c r="B194" s="12"/>
      <c r="L194" s="14"/>
      <c r="M194" s="14"/>
      <c r="N194" s="14"/>
      <c r="O194" s="15"/>
      <c r="P194" s="15"/>
      <c r="Q194" s="15"/>
      <c r="R194" s="15"/>
      <c r="S194" s="15"/>
      <c r="T194" s="15"/>
      <c r="U194" s="15"/>
      <c r="V194" s="15"/>
      <c r="W194" s="15"/>
      <c r="X194" s="15"/>
      <c r="Y194" s="15"/>
      <c r="Z194" s="15"/>
      <c r="AA194" s="15"/>
    </row>
    <row r="195" spans="2:27" s="13" customFormat="1">
      <c r="B195" s="12"/>
      <c r="L195" s="14"/>
      <c r="M195" s="14"/>
      <c r="N195" s="14"/>
      <c r="O195" s="15"/>
      <c r="P195" s="15"/>
      <c r="Q195" s="15"/>
      <c r="R195" s="15"/>
      <c r="S195" s="15"/>
      <c r="T195" s="15"/>
      <c r="U195" s="15"/>
      <c r="V195" s="15"/>
      <c r="W195" s="15"/>
      <c r="X195" s="15"/>
      <c r="Y195" s="15"/>
      <c r="Z195" s="15"/>
      <c r="AA195" s="15"/>
    </row>
    <row r="196" spans="2:27" s="13" customFormat="1">
      <c r="B196" s="12"/>
      <c r="L196" s="14"/>
      <c r="M196" s="14"/>
      <c r="N196" s="14"/>
      <c r="O196" s="15"/>
      <c r="P196" s="15"/>
      <c r="Q196" s="15"/>
      <c r="R196" s="15"/>
      <c r="S196" s="15"/>
      <c r="T196" s="15"/>
      <c r="U196" s="15"/>
      <c r="V196" s="15"/>
      <c r="W196" s="15"/>
      <c r="X196" s="15"/>
      <c r="Y196" s="15"/>
      <c r="Z196" s="15"/>
      <c r="AA196" s="15"/>
    </row>
    <row r="197" spans="2:27" s="13" customFormat="1">
      <c r="B197" s="12"/>
      <c r="L197" s="14"/>
      <c r="M197" s="14"/>
      <c r="N197" s="14"/>
      <c r="O197" s="15"/>
      <c r="P197" s="15"/>
      <c r="Q197" s="15"/>
      <c r="R197" s="15"/>
      <c r="S197" s="15"/>
      <c r="T197" s="15"/>
      <c r="U197" s="15"/>
      <c r="V197" s="15"/>
      <c r="W197" s="15"/>
      <c r="X197" s="15"/>
      <c r="Y197" s="15"/>
      <c r="Z197" s="15"/>
      <c r="AA197" s="15"/>
    </row>
    <row r="198" spans="2:27" s="13" customFormat="1">
      <c r="B198" s="12"/>
      <c r="L198" s="14"/>
      <c r="M198" s="14"/>
      <c r="N198" s="14"/>
      <c r="O198" s="15"/>
      <c r="P198" s="15"/>
      <c r="Q198" s="15"/>
      <c r="R198" s="15"/>
      <c r="S198" s="15"/>
      <c r="T198" s="15"/>
      <c r="U198" s="15"/>
      <c r="V198" s="15"/>
      <c r="W198" s="15"/>
      <c r="X198" s="15"/>
      <c r="Y198" s="15"/>
      <c r="Z198" s="15"/>
      <c r="AA198" s="15"/>
    </row>
    <row r="199" spans="2:27" s="13" customFormat="1">
      <c r="B199" s="12"/>
      <c r="L199" s="14"/>
      <c r="M199" s="14"/>
      <c r="N199" s="14"/>
      <c r="O199" s="15"/>
      <c r="P199" s="15"/>
      <c r="Q199" s="15"/>
      <c r="R199" s="15"/>
      <c r="S199" s="15"/>
      <c r="T199" s="15"/>
      <c r="U199" s="15"/>
      <c r="V199" s="15"/>
      <c r="W199" s="15"/>
      <c r="X199" s="15"/>
      <c r="Y199" s="15"/>
      <c r="Z199" s="15"/>
      <c r="AA199" s="15"/>
    </row>
    <row r="200" spans="2:27" s="13" customFormat="1">
      <c r="B200" s="12"/>
      <c r="L200" s="14"/>
      <c r="M200" s="14"/>
      <c r="N200" s="14"/>
      <c r="O200" s="15"/>
      <c r="P200" s="15"/>
      <c r="Q200" s="15"/>
      <c r="R200" s="15"/>
      <c r="S200" s="15"/>
      <c r="T200" s="15"/>
      <c r="U200" s="15"/>
      <c r="V200" s="15"/>
      <c r="W200" s="15"/>
      <c r="X200" s="15"/>
      <c r="Y200" s="15"/>
      <c r="Z200" s="15"/>
      <c r="AA200" s="15"/>
    </row>
    <row r="201" spans="2:27" s="13" customFormat="1">
      <c r="B201" s="12"/>
      <c r="L201" s="14"/>
      <c r="M201" s="14"/>
      <c r="N201" s="14"/>
      <c r="O201" s="15"/>
      <c r="P201" s="15"/>
      <c r="Q201" s="15"/>
      <c r="R201" s="15"/>
      <c r="S201" s="15"/>
      <c r="T201" s="15"/>
      <c r="U201" s="15"/>
      <c r="V201" s="15"/>
      <c r="W201" s="15"/>
      <c r="X201" s="15"/>
      <c r="Y201" s="15"/>
      <c r="Z201" s="15"/>
      <c r="AA201" s="15"/>
    </row>
    <row r="202" spans="2:27" s="13" customFormat="1">
      <c r="B202" s="12"/>
      <c r="L202" s="14"/>
      <c r="M202" s="14"/>
      <c r="N202" s="14"/>
      <c r="O202" s="15"/>
      <c r="P202" s="15"/>
      <c r="Q202" s="15"/>
      <c r="R202" s="15"/>
      <c r="S202" s="15"/>
      <c r="T202" s="15"/>
      <c r="U202" s="15"/>
      <c r="V202" s="15"/>
      <c r="W202" s="15"/>
      <c r="X202" s="15"/>
      <c r="Y202" s="15"/>
      <c r="Z202" s="15"/>
      <c r="AA202" s="15"/>
    </row>
    <row r="203" spans="2:27" s="13" customFormat="1">
      <c r="B203" s="12"/>
      <c r="L203" s="14"/>
      <c r="M203" s="14"/>
      <c r="N203" s="14"/>
      <c r="O203" s="15"/>
      <c r="P203" s="15"/>
      <c r="Q203" s="15"/>
      <c r="R203" s="15"/>
      <c r="S203" s="15"/>
      <c r="T203" s="15"/>
      <c r="U203" s="15"/>
      <c r="V203" s="15"/>
      <c r="W203" s="15"/>
      <c r="X203" s="15"/>
      <c r="Y203" s="15"/>
      <c r="Z203" s="15"/>
      <c r="AA203" s="15"/>
    </row>
    <row r="204" spans="2:27" s="13" customFormat="1">
      <c r="B204" s="12"/>
      <c r="L204" s="14"/>
      <c r="M204" s="14"/>
      <c r="N204" s="14"/>
      <c r="O204" s="15"/>
      <c r="P204" s="15"/>
      <c r="Q204" s="15"/>
      <c r="R204" s="15"/>
      <c r="S204" s="15"/>
      <c r="T204" s="15"/>
      <c r="U204" s="15"/>
      <c r="V204" s="15"/>
      <c r="W204" s="15"/>
      <c r="X204" s="15"/>
      <c r="Y204" s="15"/>
      <c r="Z204" s="15"/>
      <c r="AA204" s="15"/>
    </row>
    <row r="205" spans="2:27" s="13" customFormat="1">
      <c r="B205" s="12"/>
      <c r="L205" s="14"/>
      <c r="M205" s="14"/>
      <c r="N205" s="14"/>
      <c r="O205" s="15"/>
      <c r="P205" s="15"/>
      <c r="Q205" s="15"/>
      <c r="R205" s="15"/>
      <c r="S205" s="15"/>
      <c r="T205" s="15"/>
      <c r="U205" s="15"/>
      <c r="V205" s="15"/>
      <c r="W205" s="15"/>
      <c r="X205" s="15"/>
      <c r="Y205" s="15"/>
      <c r="Z205" s="15"/>
      <c r="AA205" s="15"/>
    </row>
    <row r="206" spans="2:27" s="13" customFormat="1">
      <c r="B206" s="12"/>
      <c r="L206" s="14"/>
      <c r="M206" s="14"/>
      <c r="N206" s="14"/>
      <c r="O206" s="15"/>
      <c r="P206" s="15"/>
      <c r="Q206" s="15"/>
      <c r="R206" s="15"/>
      <c r="S206" s="15"/>
      <c r="T206" s="15"/>
      <c r="U206" s="15"/>
      <c r="V206" s="15"/>
      <c r="W206" s="15"/>
      <c r="X206" s="15"/>
      <c r="Y206" s="15"/>
      <c r="Z206" s="15"/>
      <c r="AA206" s="15"/>
    </row>
    <row r="207" spans="2:27" s="13" customFormat="1">
      <c r="B207" s="12"/>
      <c r="L207" s="14"/>
      <c r="M207" s="14"/>
      <c r="N207" s="14"/>
      <c r="O207" s="15"/>
      <c r="P207" s="15"/>
      <c r="Q207" s="15"/>
      <c r="R207" s="15"/>
      <c r="S207" s="15"/>
      <c r="T207" s="15"/>
      <c r="U207" s="15"/>
      <c r="V207" s="15"/>
      <c r="W207" s="15"/>
      <c r="X207" s="15"/>
      <c r="Y207" s="15"/>
      <c r="Z207" s="15"/>
      <c r="AA207" s="15"/>
    </row>
    <row r="208" spans="2:27" s="13" customFormat="1">
      <c r="B208" s="12"/>
      <c r="L208" s="14"/>
      <c r="M208" s="14"/>
      <c r="N208" s="14"/>
      <c r="O208" s="15"/>
      <c r="P208" s="15"/>
      <c r="Q208" s="15"/>
      <c r="R208" s="15"/>
      <c r="S208" s="15"/>
      <c r="T208" s="15"/>
      <c r="U208" s="15"/>
      <c r="V208" s="15"/>
      <c r="W208" s="15"/>
      <c r="X208" s="15"/>
      <c r="Y208" s="15"/>
      <c r="Z208" s="15"/>
      <c r="AA208" s="15"/>
    </row>
    <row r="209" spans="2:27" s="13" customFormat="1">
      <c r="B209" s="12"/>
      <c r="L209" s="14"/>
      <c r="M209" s="14"/>
      <c r="N209" s="14"/>
      <c r="O209" s="15"/>
      <c r="P209" s="15"/>
      <c r="Q209" s="15"/>
      <c r="R209" s="15"/>
      <c r="S209" s="15"/>
      <c r="T209" s="15"/>
      <c r="U209" s="15"/>
      <c r="V209" s="15"/>
      <c r="W209" s="15"/>
      <c r="X209" s="15"/>
      <c r="Y209" s="15"/>
      <c r="Z209" s="15"/>
      <c r="AA209" s="15"/>
    </row>
    <row r="210" spans="2:27" s="13" customFormat="1">
      <c r="B210" s="12"/>
      <c r="L210" s="14"/>
      <c r="M210" s="14"/>
      <c r="N210" s="14"/>
      <c r="O210" s="15"/>
      <c r="P210" s="15"/>
      <c r="Q210" s="15"/>
      <c r="R210" s="15"/>
      <c r="S210" s="15"/>
      <c r="T210" s="15"/>
      <c r="U210" s="15"/>
      <c r="V210" s="15"/>
      <c r="W210" s="15"/>
      <c r="X210" s="15"/>
      <c r="Y210" s="15"/>
      <c r="Z210" s="15"/>
      <c r="AA210" s="15"/>
    </row>
    <row r="211" spans="2:27" s="13" customFormat="1">
      <c r="B211" s="12"/>
      <c r="L211" s="14"/>
      <c r="M211" s="14"/>
      <c r="N211" s="14"/>
      <c r="O211" s="15"/>
      <c r="P211" s="15"/>
      <c r="Q211" s="15"/>
      <c r="R211" s="15"/>
      <c r="S211" s="15"/>
      <c r="T211" s="15"/>
      <c r="U211" s="15"/>
      <c r="V211" s="15"/>
      <c r="W211" s="15"/>
      <c r="X211" s="15"/>
      <c r="Y211" s="15"/>
      <c r="Z211" s="15"/>
      <c r="AA211" s="15"/>
    </row>
    <row r="212" spans="2:27" s="13" customFormat="1">
      <c r="B212" s="12"/>
      <c r="L212" s="14"/>
      <c r="M212" s="14"/>
      <c r="N212" s="14"/>
      <c r="O212" s="15"/>
      <c r="P212" s="15"/>
      <c r="Q212" s="15"/>
      <c r="R212" s="15"/>
      <c r="S212" s="15"/>
      <c r="T212" s="15"/>
      <c r="U212" s="15"/>
      <c r="V212" s="15"/>
      <c r="W212" s="15"/>
      <c r="X212" s="15"/>
      <c r="Y212" s="15"/>
      <c r="Z212" s="15"/>
      <c r="AA212" s="15"/>
    </row>
    <row r="213" spans="2:27" s="13" customFormat="1">
      <c r="B213" s="12"/>
      <c r="L213" s="14"/>
      <c r="M213" s="14"/>
      <c r="N213" s="14"/>
      <c r="O213" s="15"/>
      <c r="P213" s="15"/>
      <c r="Q213" s="15"/>
      <c r="R213" s="15"/>
      <c r="S213" s="15"/>
      <c r="T213" s="15"/>
      <c r="U213" s="15"/>
      <c r="V213" s="15"/>
      <c r="W213" s="15"/>
      <c r="X213" s="15"/>
      <c r="Y213" s="15"/>
      <c r="Z213" s="15"/>
      <c r="AA213" s="15"/>
    </row>
    <row r="214" spans="2:27" s="13" customFormat="1">
      <c r="B214" s="12"/>
      <c r="L214" s="14"/>
      <c r="M214" s="14"/>
      <c r="N214" s="14"/>
      <c r="O214" s="15"/>
      <c r="P214" s="15"/>
      <c r="Q214" s="15"/>
      <c r="R214" s="15"/>
      <c r="S214" s="15"/>
      <c r="T214" s="15"/>
      <c r="U214" s="15"/>
      <c r="V214" s="15"/>
      <c r="W214" s="15"/>
      <c r="X214" s="15"/>
      <c r="Y214" s="15"/>
      <c r="Z214" s="15"/>
      <c r="AA214" s="15"/>
    </row>
    <row r="215" spans="2:27" s="13" customFormat="1">
      <c r="B215" s="12"/>
      <c r="L215" s="14"/>
      <c r="M215" s="14"/>
      <c r="N215" s="14"/>
      <c r="O215" s="15"/>
      <c r="P215" s="15"/>
      <c r="Q215" s="15"/>
      <c r="R215" s="15"/>
      <c r="S215" s="15"/>
      <c r="T215" s="15"/>
      <c r="U215" s="15"/>
      <c r="V215" s="15"/>
      <c r="W215" s="15"/>
      <c r="X215" s="15"/>
      <c r="Y215" s="15"/>
      <c r="Z215" s="15"/>
      <c r="AA215" s="15"/>
    </row>
    <row r="216" spans="2:27" s="13" customFormat="1">
      <c r="B216" s="12"/>
      <c r="L216" s="14"/>
      <c r="M216" s="14"/>
      <c r="N216" s="14"/>
      <c r="O216" s="15"/>
      <c r="P216" s="15"/>
      <c r="Q216" s="15"/>
      <c r="R216" s="15"/>
      <c r="S216" s="15"/>
      <c r="T216" s="15"/>
      <c r="U216" s="15"/>
      <c r="V216" s="15"/>
      <c r="W216" s="15"/>
      <c r="X216" s="15"/>
      <c r="Y216" s="15"/>
      <c r="Z216" s="15"/>
      <c r="AA216" s="15"/>
    </row>
    <row r="217" spans="2:27" s="13" customFormat="1">
      <c r="B217" s="12"/>
      <c r="L217" s="14"/>
      <c r="M217" s="14"/>
      <c r="N217" s="14"/>
      <c r="O217" s="15"/>
      <c r="P217" s="15"/>
      <c r="Q217" s="15"/>
      <c r="R217" s="15"/>
      <c r="S217" s="15"/>
      <c r="T217" s="15"/>
      <c r="U217" s="15"/>
      <c r="V217" s="15"/>
      <c r="W217" s="15"/>
      <c r="X217" s="15"/>
      <c r="Y217" s="15"/>
      <c r="Z217" s="15"/>
      <c r="AA217" s="15"/>
    </row>
    <row r="218" spans="2:27" s="13" customFormat="1">
      <c r="B218" s="12"/>
      <c r="L218" s="14"/>
      <c r="M218" s="14"/>
      <c r="N218" s="14"/>
      <c r="O218" s="15"/>
      <c r="P218" s="15"/>
      <c r="Q218" s="15"/>
      <c r="R218" s="15"/>
      <c r="S218" s="15"/>
      <c r="T218" s="15"/>
      <c r="U218" s="15"/>
      <c r="V218" s="15"/>
      <c r="W218" s="15"/>
      <c r="X218" s="15"/>
      <c r="Y218" s="15"/>
      <c r="Z218" s="15"/>
      <c r="AA218" s="15"/>
    </row>
    <row r="219" spans="2:27" s="13" customFormat="1">
      <c r="B219" s="12"/>
      <c r="L219" s="14"/>
      <c r="M219" s="14"/>
      <c r="N219" s="14"/>
      <c r="O219" s="15"/>
      <c r="P219" s="15"/>
      <c r="Q219" s="15"/>
      <c r="R219" s="15"/>
      <c r="S219" s="15"/>
      <c r="T219" s="15"/>
      <c r="U219" s="15"/>
      <c r="V219" s="15"/>
      <c r="W219" s="15"/>
      <c r="X219" s="15"/>
      <c r="Y219" s="15"/>
      <c r="Z219" s="15"/>
      <c r="AA219" s="15"/>
    </row>
    <row r="220" spans="2:27" s="13" customFormat="1">
      <c r="B220" s="12"/>
      <c r="L220" s="14"/>
      <c r="M220" s="14"/>
      <c r="N220" s="14"/>
      <c r="O220" s="15"/>
      <c r="P220" s="15"/>
      <c r="Q220" s="15"/>
      <c r="R220" s="15"/>
      <c r="S220" s="15"/>
      <c r="T220" s="15"/>
      <c r="U220" s="15"/>
      <c r="V220" s="15"/>
      <c r="W220" s="15"/>
      <c r="X220" s="15"/>
      <c r="Y220" s="15"/>
      <c r="Z220" s="15"/>
      <c r="AA220" s="15"/>
    </row>
    <row r="221" spans="2:27" s="13" customFormat="1">
      <c r="B221" s="12"/>
      <c r="L221" s="14"/>
      <c r="M221" s="14"/>
      <c r="N221" s="14"/>
      <c r="O221" s="15"/>
      <c r="P221" s="15"/>
      <c r="Q221" s="15"/>
      <c r="R221" s="15"/>
      <c r="S221" s="15"/>
      <c r="T221" s="15"/>
      <c r="U221" s="15"/>
      <c r="V221" s="15"/>
      <c r="W221" s="15"/>
      <c r="X221" s="15"/>
      <c r="Y221" s="15"/>
      <c r="Z221" s="15"/>
      <c r="AA221" s="15"/>
    </row>
    <row r="222" spans="2:27" s="13" customFormat="1">
      <c r="B222" s="12"/>
      <c r="L222" s="14"/>
      <c r="M222" s="14"/>
      <c r="N222" s="14"/>
      <c r="O222" s="15"/>
      <c r="P222" s="15"/>
      <c r="Q222" s="15"/>
      <c r="R222" s="15"/>
      <c r="S222" s="15"/>
      <c r="T222" s="15"/>
      <c r="U222" s="15"/>
      <c r="V222" s="15"/>
      <c r="W222" s="15"/>
      <c r="X222" s="15"/>
      <c r="Y222" s="15"/>
      <c r="Z222" s="15"/>
      <c r="AA222" s="15"/>
    </row>
    <row r="223" spans="2:27" s="13" customFormat="1">
      <c r="B223" s="12"/>
      <c r="L223" s="14"/>
      <c r="M223" s="14"/>
      <c r="N223" s="14"/>
      <c r="O223" s="15"/>
      <c r="P223" s="15"/>
      <c r="Q223" s="15"/>
      <c r="R223" s="15"/>
      <c r="S223" s="15"/>
      <c r="T223" s="15"/>
      <c r="U223" s="15"/>
      <c r="V223" s="15"/>
      <c r="W223" s="15"/>
      <c r="X223" s="15"/>
      <c r="Y223" s="15"/>
      <c r="Z223" s="15"/>
      <c r="AA223" s="15"/>
    </row>
    <row r="224" spans="2:27" s="13" customFormat="1">
      <c r="B224" s="12"/>
      <c r="L224" s="14"/>
      <c r="M224" s="14"/>
      <c r="N224" s="14"/>
      <c r="O224" s="15"/>
      <c r="P224" s="15"/>
      <c r="Q224" s="15"/>
      <c r="R224" s="15"/>
      <c r="S224" s="15"/>
      <c r="T224" s="15"/>
      <c r="U224" s="15"/>
      <c r="V224" s="15"/>
      <c r="W224" s="15"/>
      <c r="X224" s="15"/>
      <c r="Y224" s="15"/>
      <c r="Z224" s="15"/>
      <c r="AA224" s="15"/>
    </row>
    <row r="225" spans="2:27" s="13" customFormat="1">
      <c r="B225" s="12"/>
      <c r="L225" s="14"/>
      <c r="M225" s="14"/>
      <c r="N225" s="14"/>
      <c r="O225" s="15"/>
      <c r="P225" s="15"/>
      <c r="Q225" s="15"/>
      <c r="R225" s="15"/>
      <c r="S225" s="15"/>
      <c r="T225" s="15"/>
      <c r="U225" s="15"/>
      <c r="V225" s="15"/>
      <c r="W225" s="15"/>
      <c r="X225" s="15"/>
      <c r="Y225" s="15"/>
      <c r="Z225" s="15"/>
      <c r="AA225" s="15"/>
    </row>
    <row r="226" spans="2:27" s="13" customFormat="1">
      <c r="B226" s="12"/>
      <c r="L226" s="14"/>
      <c r="M226" s="14"/>
      <c r="N226" s="14"/>
      <c r="O226" s="15"/>
      <c r="P226" s="15"/>
      <c r="Q226" s="15"/>
      <c r="R226" s="15"/>
      <c r="S226" s="15"/>
      <c r="T226" s="15"/>
      <c r="U226" s="15"/>
      <c r="V226" s="15"/>
      <c r="W226" s="15"/>
      <c r="X226" s="15"/>
      <c r="Y226" s="15"/>
      <c r="Z226" s="15"/>
      <c r="AA226" s="15"/>
    </row>
    <row r="227" spans="2:27" s="13" customFormat="1">
      <c r="B227" s="12"/>
      <c r="L227" s="14"/>
      <c r="M227" s="14"/>
      <c r="N227" s="14"/>
      <c r="O227" s="15"/>
      <c r="P227" s="15"/>
      <c r="Q227" s="15"/>
      <c r="R227" s="15"/>
      <c r="S227" s="15"/>
      <c r="T227" s="15"/>
      <c r="U227" s="15"/>
      <c r="V227" s="15"/>
      <c r="W227" s="15"/>
      <c r="X227" s="15"/>
      <c r="Y227" s="15"/>
      <c r="Z227" s="15"/>
      <c r="AA227" s="15"/>
    </row>
    <row r="228" spans="2:27" s="13" customFormat="1">
      <c r="B228" s="12"/>
      <c r="L228" s="14"/>
      <c r="M228" s="14"/>
      <c r="N228" s="14"/>
      <c r="O228" s="15"/>
      <c r="P228" s="15"/>
      <c r="Q228" s="15"/>
      <c r="R228" s="15"/>
      <c r="S228" s="15"/>
      <c r="T228" s="15"/>
      <c r="U228" s="15"/>
      <c r="V228" s="15"/>
      <c r="W228" s="15"/>
      <c r="X228" s="15"/>
      <c r="Y228" s="15"/>
      <c r="Z228" s="15"/>
      <c r="AA228" s="15"/>
    </row>
    <row r="229" spans="2:27" s="13" customFormat="1">
      <c r="B229" s="12"/>
      <c r="L229" s="14"/>
      <c r="M229" s="14"/>
      <c r="N229" s="14"/>
      <c r="O229" s="15"/>
      <c r="P229" s="15"/>
      <c r="Q229" s="15"/>
      <c r="R229" s="15"/>
      <c r="S229" s="15"/>
      <c r="T229" s="15"/>
      <c r="U229" s="15"/>
      <c r="V229" s="15"/>
      <c r="W229" s="15"/>
      <c r="X229" s="15"/>
      <c r="Y229" s="15"/>
      <c r="Z229" s="15"/>
      <c r="AA229" s="15"/>
    </row>
    <row r="230" spans="2:27" s="13" customFormat="1">
      <c r="B230" s="12"/>
      <c r="L230" s="14"/>
      <c r="M230" s="14"/>
      <c r="N230" s="14"/>
      <c r="O230" s="15"/>
      <c r="P230" s="15"/>
      <c r="Q230" s="15"/>
      <c r="R230" s="15"/>
      <c r="S230" s="15"/>
      <c r="T230" s="15"/>
      <c r="U230" s="15"/>
      <c r="V230" s="15"/>
      <c r="W230" s="15"/>
      <c r="X230" s="15"/>
      <c r="Y230" s="15"/>
      <c r="Z230" s="15"/>
      <c r="AA230" s="15"/>
    </row>
    <row r="231" spans="2:27" s="13" customFormat="1">
      <c r="B231" s="12"/>
      <c r="L231" s="14"/>
      <c r="M231" s="14"/>
      <c r="N231" s="14"/>
      <c r="O231" s="15"/>
      <c r="P231" s="15"/>
      <c r="Q231" s="15"/>
      <c r="R231" s="15"/>
      <c r="S231" s="15"/>
      <c r="T231" s="15"/>
      <c r="U231" s="15"/>
      <c r="V231" s="15"/>
      <c r="W231" s="15"/>
      <c r="X231" s="15"/>
      <c r="Y231" s="15"/>
      <c r="Z231" s="15"/>
      <c r="AA231" s="15"/>
    </row>
    <row r="232" spans="2:27" s="13" customFormat="1">
      <c r="B232" s="12"/>
      <c r="L232" s="14"/>
      <c r="M232" s="14"/>
      <c r="N232" s="14"/>
      <c r="O232" s="15"/>
      <c r="P232" s="15"/>
      <c r="Q232" s="15"/>
      <c r="R232" s="15"/>
      <c r="S232" s="15"/>
      <c r="T232" s="15"/>
      <c r="U232" s="15"/>
      <c r="V232" s="15"/>
      <c r="W232" s="15"/>
      <c r="X232" s="15"/>
      <c r="Y232" s="15"/>
      <c r="Z232" s="15"/>
      <c r="AA232" s="15"/>
    </row>
    <row r="233" spans="2:27" s="13" customFormat="1">
      <c r="B233" s="12"/>
      <c r="L233" s="14"/>
      <c r="M233" s="14"/>
      <c r="N233" s="14"/>
      <c r="O233" s="15"/>
      <c r="P233" s="15"/>
      <c r="Q233" s="15"/>
      <c r="R233" s="15"/>
      <c r="S233" s="15"/>
      <c r="T233" s="15"/>
      <c r="U233" s="15"/>
      <c r="V233" s="15"/>
      <c r="W233" s="15"/>
      <c r="X233" s="15"/>
      <c r="Y233" s="15"/>
      <c r="Z233" s="15"/>
      <c r="AA233" s="15"/>
    </row>
    <row r="234" spans="2:27" s="13" customFormat="1">
      <c r="B234" s="12"/>
      <c r="L234" s="14"/>
      <c r="M234" s="14"/>
      <c r="N234" s="14"/>
      <c r="O234" s="15"/>
      <c r="P234" s="15"/>
      <c r="Q234" s="15"/>
      <c r="R234" s="15"/>
      <c r="S234" s="15"/>
      <c r="T234" s="15"/>
      <c r="U234" s="15"/>
      <c r="V234" s="15"/>
      <c r="W234" s="15"/>
      <c r="X234" s="15"/>
      <c r="Y234" s="15"/>
      <c r="Z234" s="15"/>
      <c r="AA234" s="15"/>
    </row>
    <row r="235" spans="2:27" s="13" customFormat="1">
      <c r="B235" s="12"/>
      <c r="L235" s="14"/>
      <c r="M235" s="14"/>
      <c r="N235" s="14"/>
      <c r="O235" s="15"/>
      <c r="P235" s="15"/>
      <c r="Q235" s="15"/>
      <c r="R235" s="15"/>
      <c r="S235" s="15"/>
      <c r="T235" s="15"/>
      <c r="U235" s="15"/>
      <c r="V235" s="15"/>
      <c r="W235" s="15"/>
      <c r="X235" s="15"/>
      <c r="Y235" s="15"/>
      <c r="Z235" s="15"/>
      <c r="AA235" s="15"/>
    </row>
    <row r="236" spans="2:27" s="13" customFormat="1">
      <c r="B236" s="12"/>
      <c r="L236" s="14"/>
      <c r="M236" s="14"/>
      <c r="N236" s="14"/>
      <c r="O236" s="15"/>
      <c r="P236" s="15"/>
      <c r="Q236" s="15"/>
      <c r="R236" s="15"/>
      <c r="S236" s="15"/>
      <c r="T236" s="15"/>
      <c r="U236" s="15"/>
      <c r="V236" s="15"/>
      <c r="W236" s="15"/>
      <c r="X236" s="15"/>
      <c r="Y236" s="15"/>
      <c r="Z236" s="15"/>
      <c r="AA236" s="15"/>
    </row>
    <row r="237" spans="2:27" s="13" customFormat="1">
      <c r="B237" s="12"/>
      <c r="L237" s="14"/>
      <c r="M237" s="14"/>
      <c r="N237" s="14"/>
      <c r="O237" s="15"/>
      <c r="P237" s="15"/>
      <c r="Q237" s="15"/>
      <c r="R237" s="15"/>
      <c r="S237" s="15"/>
      <c r="T237" s="15"/>
      <c r="U237" s="15"/>
      <c r="V237" s="15"/>
      <c r="W237" s="15"/>
      <c r="X237" s="15"/>
      <c r="Y237" s="15"/>
      <c r="Z237" s="15"/>
      <c r="AA237" s="15"/>
    </row>
    <row r="238" spans="2:27" s="13" customFormat="1">
      <c r="B238" s="12"/>
      <c r="L238" s="14"/>
      <c r="M238" s="14"/>
      <c r="N238" s="14"/>
      <c r="O238" s="15"/>
      <c r="P238" s="15"/>
      <c r="Q238" s="15"/>
      <c r="R238" s="15"/>
      <c r="S238" s="15"/>
      <c r="T238" s="15"/>
      <c r="U238" s="15"/>
      <c r="V238" s="15"/>
      <c r="W238" s="15"/>
      <c r="X238" s="15"/>
      <c r="Y238" s="15"/>
      <c r="Z238" s="15"/>
      <c r="AA238" s="15"/>
    </row>
    <row r="239" spans="2:27" s="13" customFormat="1">
      <c r="B239" s="12"/>
      <c r="L239" s="14"/>
      <c r="M239" s="14"/>
      <c r="N239" s="14"/>
      <c r="O239" s="15"/>
      <c r="P239" s="15"/>
      <c r="Q239" s="15"/>
      <c r="R239" s="15"/>
      <c r="S239" s="15"/>
      <c r="T239" s="15"/>
      <c r="U239" s="15"/>
      <c r="V239" s="15"/>
      <c r="W239" s="15"/>
      <c r="X239" s="15"/>
      <c r="Y239" s="15"/>
      <c r="Z239" s="15"/>
      <c r="AA239" s="15"/>
    </row>
    <row r="240" spans="2:27" s="13" customFormat="1">
      <c r="B240" s="12"/>
      <c r="L240" s="14"/>
      <c r="M240" s="14"/>
      <c r="N240" s="14"/>
      <c r="O240" s="15"/>
      <c r="P240" s="15"/>
      <c r="Q240" s="15"/>
      <c r="R240" s="15"/>
      <c r="S240" s="15"/>
      <c r="T240" s="15"/>
      <c r="U240" s="15"/>
      <c r="V240" s="15"/>
      <c r="W240" s="15"/>
      <c r="X240" s="15"/>
      <c r="Y240" s="15"/>
      <c r="Z240" s="15"/>
      <c r="AA240" s="15"/>
    </row>
    <row r="241" spans="2:27" s="13" customFormat="1">
      <c r="B241" s="12"/>
      <c r="L241" s="14"/>
      <c r="M241" s="14"/>
      <c r="N241" s="14"/>
      <c r="O241" s="15"/>
      <c r="P241" s="15"/>
      <c r="Q241" s="15"/>
      <c r="R241" s="15"/>
      <c r="S241" s="15"/>
      <c r="T241" s="15"/>
      <c r="U241" s="15"/>
      <c r="V241" s="15"/>
      <c r="W241" s="15"/>
      <c r="X241" s="15"/>
      <c r="Y241" s="15"/>
      <c r="Z241" s="15"/>
      <c r="AA241" s="15"/>
    </row>
    <row r="242" spans="2:27" s="13" customFormat="1">
      <c r="B242" s="12"/>
      <c r="L242" s="14"/>
      <c r="M242" s="14"/>
      <c r="N242" s="14"/>
      <c r="O242" s="15"/>
      <c r="P242" s="15"/>
      <c r="Q242" s="15"/>
      <c r="R242" s="15"/>
      <c r="S242" s="15"/>
      <c r="T242" s="15"/>
      <c r="U242" s="15"/>
      <c r="V242" s="15"/>
      <c r="W242" s="15"/>
      <c r="X242" s="15"/>
      <c r="Y242" s="15"/>
      <c r="Z242" s="15"/>
      <c r="AA242" s="15"/>
    </row>
    <row r="243" spans="2:27" s="13" customFormat="1">
      <c r="B243" s="12"/>
      <c r="L243" s="14"/>
      <c r="M243" s="14"/>
      <c r="N243" s="14"/>
      <c r="O243" s="15"/>
      <c r="P243" s="15"/>
      <c r="Q243" s="15"/>
      <c r="R243" s="15"/>
      <c r="S243" s="15"/>
      <c r="T243" s="15"/>
      <c r="U243" s="15"/>
      <c r="V243" s="15"/>
      <c r="W243" s="15"/>
      <c r="X243" s="15"/>
      <c r="Y243" s="15"/>
      <c r="Z243" s="15"/>
      <c r="AA243" s="15"/>
    </row>
    <row r="244" spans="2:27" s="13" customFormat="1">
      <c r="B244" s="12"/>
      <c r="L244" s="14"/>
      <c r="M244" s="14"/>
      <c r="N244" s="14"/>
      <c r="O244" s="15"/>
      <c r="P244" s="15"/>
      <c r="Q244" s="15"/>
      <c r="R244" s="15"/>
      <c r="S244" s="15"/>
      <c r="T244" s="15"/>
      <c r="U244" s="15"/>
      <c r="V244" s="15"/>
      <c r="W244" s="15"/>
      <c r="X244" s="15"/>
      <c r="Y244" s="15"/>
      <c r="Z244" s="15"/>
      <c r="AA244" s="15"/>
    </row>
    <row r="245" spans="2:27" s="13" customFormat="1">
      <c r="B245" s="12"/>
      <c r="L245" s="14"/>
      <c r="M245" s="14"/>
      <c r="N245" s="14"/>
      <c r="O245" s="15"/>
      <c r="P245" s="15"/>
      <c r="Q245" s="15"/>
      <c r="R245" s="15"/>
      <c r="S245" s="15"/>
      <c r="T245" s="15"/>
      <c r="U245" s="15"/>
      <c r="V245" s="15"/>
      <c r="W245" s="15"/>
      <c r="X245" s="15"/>
      <c r="Y245" s="15"/>
      <c r="Z245" s="15"/>
      <c r="AA245" s="15"/>
    </row>
    <row r="246" spans="2:27" s="13" customFormat="1">
      <c r="B246" s="12"/>
      <c r="L246" s="14"/>
      <c r="M246" s="14"/>
      <c r="N246" s="14"/>
      <c r="O246" s="15"/>
      <c r="P246" s="15"/>
      <c r="Q246" s="15"/>
      <c r="R246" s="15"/>
      <c r="S246" s="15"/>
      <c r="T246" s="15"/>
      <c r="U246" s="15"/>
      <c r="V246" s="15"/>
      <c r="W246" s="15"/>
      <c r="X246" s="15"/>
      <c r="Y246" s="15"/>
      <c r="Z246" s="15"/>
      <c r="AA246" s="15"/>
    </row>
    <row r="247" spans="2:27" s="13" customFormat="1">
      <c r="B247" s="12"/>
      <c r="L247" s="14"/>
      <c r="M247" s="14"/>
      <c r="N247" s="14"/>
      <c r="O247" s="15"/>
      <c r="P247" s="15"/>
      <c r="Q247" s="15"/>
      <c r="R247" s="15"/>
      <c r="S247" s="15"/>
      <c r="T247" s="15"/>
      <c r="U247" s="15"/>
      <c r="V247" s="15"/>
      <c r="W247" s="15"/>
      <c r="X247" s="15"/>
      <c r="Y247" s="15"/>
      <c r="Z247" s="15"/>
      <c r="AA247" s="15"/>
    </row>
    <row r="248" spans="2:27" s="13" customFormat="1">
      <c r="B248" s="12"/>
      <c r="L248" s="14"/>
      <c r="M248" s="14"/>
      <c r="N248" s="14"/>
      <c r="O248" s="15"/>
      <c r="P248" s="15"/>
      <c r="Q248" s="15"/>
      <c r="R248" s="15"/>
      <c r="S248" s="15"/>
      <c r="T248" s="15"/>
      <c r="U248" s="15"/>
      <c r="V248" s="15"/>
      <c r="W248" s="15"/>
      <c r="X248" s="15"/>
      <c r="Y248" s="15"/>
      <c r="Z248" s="15"/>
      <c r="AA248" s="15"/>
    </row>
    <row r="249" spans="2:27" s="13" customFormat="1">
      <c r="B249" s="12"/>
      <c r="L249" s="14"/>
      <c r="M249" s="14"/>
      <c r="N249" s="14"/>
      <c r="O249" s="15"/>
      <c r="P249" s="15"/>
      <c r="Q249" s="15"/>
      <c r="R249" s="15"/>
      <c r="S249" s="15"/>
      <c r="T249" s="15"/>
      <c r="U249" s="15"/>
      <c r="V249" s="15"/>
      <c r="W249" s="15"/>
      <c r="X249" s="15"/>
      <c r="Y249" s="15"/>
      <c r="Z249" s="15"/>
      <c r="AA249" s="15"/>
    </row>
    <row r="250" spans="2:27" s="13" customFormat="1">
      <c r="B250" s="12"/>
      <c r="L250" s="14"/>
      <c r="M250" s="14"/>
      <c r="N250" s="14"/>
      <c r="O250" s="15"/>
      <c r="P250" s="15"/>
      <c r="Q250" s="15"/>
      <c r="R250" s="15"/>
      <c r="S250" s="15"/>
      <c r="T250" s="15"/>
      <c r="U250" s="15"/>
      <c r="V250" s="15"/>
      <c r="W250" s="15"/>
      <c r="X250" s="15"/>
      <c r="Y250" s="15"/>
      <c r="Z250" s="15"/>
      <c r="AA250" s="15"/>
    </row>
    <row r="251" spans="2:27" s="13" customFormat="1">
      <c r="B251" s="12"/>
      <c r="L251" s="14"/>
      <c r="M251" s="14"/>
      <c r="N251" s="14"/>
      <c r="O251" s="15"/>
      <c r="P251" s="15"/>
      <c r="Q251" s="15"/>
      <c r="R251" s="15"/>
      <c r="S251" s="15"/>
      <c r="T251" s="15"/>
      <c r="U251" s="15"/>
      <c r="V251" s="15"/>
      <c r="W251" s="15"/>
      <c r="X251" s="15"/>
      <c r="Y251" s="15"/>
      <c r="Z251" s="15"/>
      <c r="AA251" s="15"/>
    </row>
    <row r="252" spans="2:27" s="13" customFormat="1">
      <c r="B252" s="12"/>
      <c r="L252" s="14"/>
      <c r="M252" s="14"/>
      <c r="N252" s="14"/>
      <c r="O252" s="15"/>
      <c r="P252" s="15"/>
      <c r="Q252" s="15"/>
      <c r="R252" s="15"/>
      <c r="S252" s="15"/>
      <c r="T252" s="15"/>
      <c r="U252" s="15"/>
      <c r="V252" s="15"/>
      <c r="W252" s="15"/>
      <c r="X252" s="15"/>
      <c r="Y252" s="15"/>
      <c r="Z252" s="15"/>
      <c r="AA252" s="15"/>
    </row>
    <row r="253" spans="2:27" s="13" customFormat="1">
      <c r="B253" s="12"/>
      <c r="L253" s="14"/>
      <c r="M253" s="14"/>
      <c r="N253" s="14"/>
      <c r="O253" s="15"/>
      <c r="P253" s="15"/>
      <c r="Q253" s="15"/>
      <c r="R253" s="15"/>
      <c r="S253" s="15"/>
      <c r="T253" s="15"/>
      <c r="U253" s="15"/>
      <c r="V253" s="15"/>
      <c r="W253" s="15"/>
      <c r="X253" s="15"/>
      <c r="Y253" s="15"/>
      <c r="Z253" s="15"/>
      <c r="AA253" s="15"/>
    </row>
    <row r="254" spans="2:27" s="13" customFormat="1">
      <c r="B254" s="12"/>
      <c r="L254" s="14"/>
      <c r="M254" s="14"/>
      <c r="N254" s="14"/>
      <c r="O254" s="15"/>
      <c r="P254" s="15"/>
      <c r="Q254" s="15"/>
      <c r="R254" s="15"/>
      <c r="S254" s="15"/>
      <c r="T254" s="15"/>
      <c r="U254" s="15"/>
      <c r="V254" s="15"/>
      <c r="W254" s="15"/>
      <c r="X254" s="15"/>
      <c r="Y254" s="15"/>
      <c r="Z254" s="15"/>
      <c r="AA254" s="15"/>
    </row>
    <row r="255" spans="2:27" s="13" customFormat="1">
      <c r="B255" s="12"/>
      <c r="L255" s="14"/>
      <c r="M255" s="14"/>
      <c r="N255" s="14"/>
      <c r="O255" s="15"/>
      <c r="P255" s="15"/>
      <c r="Q255" s="15"/>
      <c r="R255" s="15"/>
      <c r="S255" s="15"/>
      <c r="T255" s="15"/>
      <c r="U255" s="15"/>
      <c r="V255" s="15"/>
      <c r="W255" s="15"/>
      <c r="X255" s="15"/>
      <c r="Y255" s="15"/>
      <c r="Z255" s="15"/>
      <c r="AA255" s="15"/>
    </row>
    <row r="256" spans="2:27" s="13" customFormat="1">
      <c r="B256" s="12"/>
      <c r="L256" s="14"/>
      <c r="M256" s="14"/>
      <c r="N256" s="14"/>
      <c r="O256" s="15"/>
      <c r="P256" s="15"/>
      <c r="Q256" s="15"/>
      <c r="R256" s="15"/>
      <c r="S256" s="15"/>
      <c r="T256" s="15"/>
      <c r="U256" s="15"/>
      <c r="V256" s="15"/>
      <c r="W256" s="15"/>
      <c r="X256" s="15"/>
      <c r="Y256" s="15"/>
      <c r="Z256" s="15"/>
      <c r="AA256" s="15"/>
    </row>
    <row r="257" spans="2:27" s="13" customFormat="1">
      <c r="B257" s="12"/>
      <c r="L257" s="14"/>
      <c r="M257" s="14"/>
      <c r="N257" s="14"/>
      <c r="O257" s="15"/>
      <c r="P257" s="15"/>
      <c r="Q257" s="15"/>
      <c r="R257" s="15"/>
      <c r="S257" s="15"/>
      <c r="T257" s="15"/>
      <c r="U257" s="15"/>
      <c r="V257" s="15"/>
      <c r="W257" s="15"/>
      <c r="X257" s="15"/>
      <c r="Y257" s="15"/>
      <c r="Z257" s="15"/>
      <c r="AA257" s="15"/>
    </row>
    <row r="258" spans="2:27" s="13" customFormat="1">
      <c r="B258" s="12"/>
      <c r="L258" s="14"/>
      <c r="M258" s="14"/>
      <c r="N258" s="14"/>
      <c r="O258" s="15"/>
      <c r="P258" s="15"/>
      <c r="Q258" s="15"/>
      <c r="R258" s="15"/>
      <c r="S258" s="15"/>
      <c r="T258" s="15"/>
      <c r="U258" s="15"/>
      <c r="V258" s="15"/>
      <c r="W258" s="15"/>
      <c r="X258" s="15"/>
      <c r="Y258" s="15"/>
      <c r="Z258" s="15"/>
      <c r="AA258" s="15"/>
    </row>
    <row r="259" spans="2:27" s="13" customFormat="1">
      <c r="B259" s="12"/>
      <c r="L259" s="14"/>
      <c r="M259" s="14"/>
      <c r="N259" s="14"/>
      <c r="O259" s="15"/>
      <c r="P259" s="15"/>
      <c r="Q259" s="15"/>
      <c r="R259" s="15"/>
      <c r="S259" s="15"/>
      <c r="T259" s="15"/>
      <c r="U259" s="15"/>
      <c r="V259" s="15"/>
      <c r="W259" s="15"/>
      <c r="X259" s="15"/>
      <c r="Y259" s="15"/>
      <c r="Z259" s="15"/>
      <c r="AA259" s="15"/>
    </row>
    <row r="260" spans="2:27" s="13" customFormat="1">
      <c r="B260" s="12"/>
      <c r="L260" s="14"/>
      <c r="M260" s="14"/>
      <c r="N260" s="14"/>
      <c r="O260" s="15"/>
      <c r="P260" s="15"/>
      <c r="Q260" s="15"/>
      <c r="R260" s="15"/>
      <c r="S260" s="15"/>
      <c r="T260" s="15"/>
      <c r="U260" s="15"/>
      <c r="V260" s="15"/>
      <c r="W260" s="15"/>
      <c r="X260" s="15"/>
      <c r="Y260" s="15"/>
      <c r="Z260" s="15"/>
      <c r="AA260" s="15"/>
    </row>
    <row r="261" spans="2:27" s="13" customFormat="1">
      <c r="B261" s="12"/>
      <c r="L261" s="14"/>
      <c r="M261" s="14"/>
      <c r="N261" s="14"/>
      <c r="O261" s="15"/>
      <c r="P261" s="15"/>
      <c r="Q261" s="15"/>
      <c r="R261" s="15"/>
      <c r="S261" s="15"/>
      <c r="T261" s="15"/>
      <c r="U261" s="15"/>
      <c r="V261" s="15"/>
      <c r="W261" s="15"/>
      <c r="X261" s="15"/>
      <c r="Y261" s="15"/>
      <c r="Z261" s="15"/>
      <c r="AA261" s="15"/>
    </row>
    <row r="262" spans="2:27" s="13" customFormat="1">
      <c r="B262" s="12"/>
      <c r="L262" s="14"/>
      <c r="M262" s="14"/>
      <c r="N262" s="14"/>
      <c r="O262" s="15"/>
      <c r="P262" s="15"/>
      <c r="Q262" s="15"/>
      <c r="R262" s="15"/>
      <c r="S262" s="15"/>
      <c r="T262" s="15"/>
      <c r="U262" s="15"/>
      <c r="V262" s="15"/>
      <c r="W262" s="15"/>
      <c r="X262" s="15"/>
      <c r="Y262" s="15"/>
      <c r="Z262" s="15"/>
      <c r="AA262" s="15"/>
    </row>
    <row r="263" spans="2:27" s="13" customFormat="1">
      <c r="B263" s="12"/>
      <c r="L263" s="14"/>
      <c r="M263" s="14"/>
      <c r="N263" s="14"/>
      <c r="O263" s="15"/>
      <c r="P263" s="15"/>
      <c r="Q263" s="15"/>
      <c r="R263" s="15"/>
      <c r="S263" s="15"/>
      <c r="T263" s="15"/>
      <c r="U263" s="15"/>
      <c r="V263" s="15"/>
      <c r="W263" s="15"/>
      <c r="X263" s="15"/>
      <c r="Y263" s="15"/>
      <c r="Z263" s="15"/>
      <c r="AA263" s="15"/>
    </row>
    <row r="264" spans="2:27" s="13" customFormat="1">
      <c r="B264" s="12"/>
      <c r="L264" s="14"/>
      <c r="M264" s="14"/>
      <c r="N264" s="14"/>
      <c r="O264" s="15"/>
      <c r="P264" s="15"/>
      <c r="Q264" s="15"/>
      <c r="R264" s="15"/>
      <c r="S264" s="15"/>
      <c r="T264" s="15"/>
      <c r="U264" s="15"/>
      <c r="V264" s="15"/>
      <c r="W264" s="15"/>
      <c r="X264" s="15"/>
      <c r="Y264" s="15"/>
      <c r="Z264" s="15"/>
      <c r="AA264" s="15"/>
    </row>
    <row r="265" spans="2:27" s="13" customFormat="1">
      <c r="B265" s="12"/>
      <c r="L265" s="14"/>
      <c r="M265" s="14"/>
      <c r="N265" s="14"/>
      <c r="O265" s="15"/>
      <c r="P265" s="15"/>
      <c r="Q265" s="15"/>
      <c r="R265" s="15"/>
      <c r="S265" s="15"/>
      <c r="T265" s="15"/>
      <c r="U265" s="15"/>
      <c r="V265" s="15"/>
      <c r="W265" s="15"/>
      <c r="X265" s="15"/>
      <c r="Y265" s="15"/>
      <c r="Z265" s="15"/>
      <c r="AA265" s="15"/>
    </row>
    <row r="266" spans="2:27" s="13" customFormat="1">
      <c r="B266" s="12"/>
      <c r="L266" s="14"/>
      <c r="M266" s="14"/>
      <c r="N266" s="14"/>
      <c r="O266" s="15"/>
      <c r="P266" s="15"/>
      <c r="Q266" s="15"/>
      <c r="R266" s="15"/>
      <c r="S266" s="15"/>
      <c r="T266" s="15"/>
      <c r="U266" s="15"/>
      <c r="V266" s="15"/>
      <c r="W266" s="15"/>
      <c r="X266" s="15"/>
      <c r="Y266" s="15"/>
      <c r="Z266" s="15"/>
      <c r="AA266" s="15"/>
    </row>
    <row r="267" spans="2:27" s="13" customFormat="1">
      <c r="B267" s="12"/>
      <c r="L267" s="14"/>
      <c r="M267" s="14"/>
      <c r="N267" s="14"/>
      <c r="O267" s="15"/>
      <c r="P267" s="15"/>
      <c r="Q267" s="15"/>
      <c r="R267" s="15"/>
      <c r="S267" s="15"/>
      <c r="T267" s="15"/>
      <c r="U267" s="15"/>
      <c r="V267" s="15"/>
      <c r="W267" s="15"/>
      <c r="X267" s="15"/>
      <c r="Y267" s="15"/>
      <c r="Z267" s="15"/>
      <c r="AA267" s="15"/>
    </row>
    <row r="268" spans="2:27" s="13" customFormat="1">
      <c r="B268" s="12"/>
      <c r="L268" s="14"/>
      <c r="M268" s="14"/>
      <c r="N268" s="14"/>
      <c r="O268" s="15"/>
      <c r="P268" s="15"/>
      <c r="Q268" s="15"/>
      <c r="R268" s="15"/>
      <c r="S268" s="15"/>
      <c r="T268" s="15"/>
      <c r="U268" s="15"/>
      <c r="V268" s="15"/>
      <c r="W268" s="15"/>
      <c r="X268" s="15"/>
      <c r="Y268" s="15"/>
      <c r="Z268" s="15"/>
      <c r="AA268" s="15"/>
    </row>
    <row r="269" spans="2:27" s="13" customFormat="1">
      <c r="B269" s="12"/>
      <c r="L269" s="14"/>
      <c r="M269" s="14"/>
      <c r="N269" s="14"/>
      <c r="O269" s="15"/>
      <c r="P269" s="15"/>
      <c r="Q269" s="15"/>
      <c r="R269" s="15"/>
      <c r="S269" s="15"/>
      <c r="T269" s="15"/>
      <c r="U269" s="15"/>
      <c r="V269" s="15"/>
      <c r="W269" s="15"/>
      <c r="X269" s="15"/>
      <c r="Y269" s="15"/>
      <c r="Z269" s="15"/>
      <c r="AA269" s="15"/>
    </row>
    <row r="270" spans="2:27" s="13" customFormat="1">
      <c r="B270" s="12"/>
      <c r="L270" s="14"/>
      <c r="M270" s="14"/>
      <c r="N270" s="14"/>
      <c r="O270" s="15"/>
      <c r="P270" s="15"/>
      <c r="Q270" s="15"/>
      <c r="R270" s="15"/>
      <c r="S270" s="15"/>
      <c r="T270" s="15"/>
      <c r="U270" s="15"/>
      <c r="V270" s="15"/>
      <c r="W270" s="15"/>
      <c r="X270" s="15"/>
      <c r="Y270" s="15"/>
      <c r="Z270" s="15"/>
      <c r="AA270" s="15"/>
    </row>
    <row r="271" spans="2:27" s="13" customFormat="1">
      <c r="B271" s="12"/>
      <c r="L271" s="14"/>
      <c r="M271" s="14"/>
      <c r="N271" s="14"/>
      <c r="O271" s="15"/>
      <c r="P271" s="15"/>
      <c r="Q271" s="15"/>
      <c r="R271" s="15"/>
      <c r="S271" s="15"/>
      <c r="T271" s="15"/>
      <c r="U271" s="15"/>
      <c r="V271" s="15"/>
      <c r="W271" s="15"/>
      <c r="X271" s="15"/>
      <c r="Y271" s="15"/>
      <c r="Z271" s="15"/>
      <c r="AA271" s="15"/>
    </row>
    <row r="272" spans="2:27" s="13" customFormat="1">
      <c r="B272" s="12"/>
      <c r="L272" s="14"/>
      <c r="M272" s="14"/>
      <c r="N272" s="14"/>
      <c r="O272" s="15"/>
      <c r="P272" s="15"/>
      <c r="Q272" s="15"/>
      <c r="R272" s="15"/>
      <c r="S272" s="15"/>
      <c r="T272" s="15"/>
      <c r="U272" s="15"/>
      <c r="V272" s="15"/>
      <c r="W272" s="15"/>
      <c r="X272" s="15"/>
      <c r="Y272" s="15"/>
      <c r="Z272" s="15"/>
      <c r="AA272" s="15"/>
    </row>
    <row r="273" spans="2:27" s="13" customFormat="1">
      <c r="B273" s="12"/>
      <c r="L273" s="14"/>
      <c r="M273" s="14"/>
      <c r="N273" s="14"/>
      <c r="O273" s="15"/>
      <c r="P273" s="15"/>
      <c r="Q273" s="15"/>
      <c r="R273" s="15"/>
      <c r="S273" s="15"/>
      <c r="T273" s="15"/>
      <c r="U273" s="15"/>
      <c r="V273" s="15"/>
      <c r="W273" s="15"/>
      <c r="X273" s="15"/>
      <c r="Y273" s="15"/>
      <c r="Z273" s="15"/>
      <c r="AA273" s="15"/>
    </row>
    <row r="274" spans="2:27" s="13" customFormat="1">
      <c r="B274" s="12"/>
      <c r="L274" s="14"/>
      <c r="M274" s="14"/>
      <c r="N274" s="14"/>
      <c r="O274" s="15"/>
      <c r="P274" s="15"/>
      <c r="Q274" s="15"/>
      <c r="R274" s="15"/>
      <c r="S274" s="15"/>
      <c r="T274" s="15"/>
      <c r="U274" s="15"/>
      <c r="V274" s="15"/>
      <c r="W274" s="15"/>
      <c r="X274" s="15"/>
      <c r="Y274" s="15"/>
      <c r="Z274" s="15"/>
      <c r="AA274" s="15"/>
    </row>
    <row r="275" spans="2:27" s="13" customFormat="1">
      <c r="B275" s="12"/>
      <c r="L275" s="14"/>
      <c r="M275" s="14"/>
      <c r="N275" s="14"/>
      <c r="O275" s="15"/>
      <c r="P275" s="15"/>
      <c r="Q275" s="15"/>
      <c r="R275" s="15"/>
      <c r="S275" s="15"/>
      <c r="T275" s="15"/>
      <c r="U275" s="15"/>
      <c r="V275" s="15"/>
      <c r="W275" s="15"/>
      <c r="X275" s="15"/>
      <c r="Y275" s="15"/>
      <c r="Z275" s="15"/>
      <c r="AA275" s="15"/>
    </row>
    <row r="276" spans="2:27" s="13" customFormat="1">
      <c r="B276" s="12"/>
      <c r="L276" s="14"/>
      <c r="M276" s="14"/>
      <c r="N276" s="14"/>
      <c r="O276" s="15"/>
      <c r="P276" s="15"/>
      <c r="Q276" s="15"/>
      <c r="R276" s="15"/>
      <c r="S276" s="15"/>
      <c r="T276" s="15"/>
      <c r="U276" s="15"/>
      <c r="V276" s="15"/>
      <c r="W276" s="15"/>
      <c r="X276" s="15"/>
      <c r="Y276" s="15"/>
      <c r="Z276" s="15"/>
      <c r="AA276" s="15"/>
    </row>
    <row r="277" spans="2:27" s="13" customFormat="1">
      <c r="B277" s="12"/>
      <c r="L277" s="14"/>
      <c r="M277" s="14"/>
      <c r="N277" s="14"/>
      <c r="O277" s="15"/>
      <c r="P277" s="15"/>
      <c r="Q277" s="15"/>
      <c r="R277" s="15"/>
      <c r="S277" s="15"/>
      <c r="T277" s="15"/>
      <c r="U277" s="15"/>
      <c r="V277" s="15"/>
      <c r="W277" s="15"/>
      <c r="X277" s="15"/>
      <c r="Y277" s="15"/>
      <c r="Z277" s="15"/>
      <c r="AA277" s="15"/>
    </row>
    <row r="278" spans="2:27" s="13" customFormat="1">
      <c r="B278" s="12"/>
      <c r="L278" s="14"/>
      <c r="M278" s="14"/>
      <c r="N278" s="14"/>
      <c r="O278" s="15"/>
      <c r="P278" s="15"/>
      <c r="Q278" s="15"/>
      <c r="R278" s="15"/>
      <c r="S278" s="15"/>
      <c r="T278" s="15"/>
      <c r="U278" s="15"/>
      <c r="V278" s="15"/>
      <c r="W278" s="15"/>
      <c r="X278" s="15"/>
      <c r="Y278" s="15"/>
      <c r="Z278" s="15"/>
      <c r="AA278" s="15"/>
    </row>
    <row r="279" spans="2:27" s="13" customFormat="1">
      <c r="B279" s="12"/>
      <c r="L279" s="14"/>
      <c r="M279" s="14"/>
      <c r="N279" s="14"/>
      <c r="O279" s="15"/>
      <c r="P279" s="15"/>
      <c r="Q279" s="15"/>
      <c r="R279" s="15"/>
      <c r="S279" s="15"/>
      <c r="T279" s="15"/>
      <c r="U279" s="15"/>
      <c r="V279" s="15"/>
      <c r="W279" s="15"/>
      <c r="X279" s="15"/>
      <c r="Y279" s="15"/>
      <c r="Z279" s="15"/>
      <c r="AA279" s="15"/>
    </row>
    <row r="280" spans="2:27" s="13" customFormat="1">
      <c r="B280" s="12"/>
      <c r="L280" s="14"/>
      <c r="M280" s="14"/>
      <c r="N280" s="14"/>
      <c r="O280" s="15"/>
      <c r="P280" s="15"/>
      <c r="Q280" s="15"/>
      <c r="R280" s="15"/>
      <c r="S280" s="15"/>
      <c r="T280" s="15"/>
      <c r="U280" s="15"/>
      <c r="V280" s="15"/>
      <c r="W280" s="15"/>
      <c r="X280" s="15"/>
      <c r="Y280" s="15"/>
      <c r="Z280" s="15"/>
      <c r="AA280" s="15"/>
    </row>
    <row r="281" spans="2:27" s="13" customFormat="1">
      <c r="B281" s="12"/>
      <c r="L281" s="14"/>
      <c r="M281" s="14"/>
      <c r="N281" s="14"/>
      <c r="O281" s="15"/>
      <c r="P281" s="15"/>
      <c r="Q281" s="15"/>
      <c r="R281" s="15"/>
      <c r="S281" s="15"/>
      <c r="T281" s="15"/>
      <c r="U281" s="15"/>
      <c r="V281" s="15"/>
      <c r="W281" s="15"/>
      <c r="X281" s="15"/>
      <c r="Y281" s="15"/>
      <c r="Z281" s="15"/>
      <c r="AA281" s="15"/>
    </row>
    <row r="282" spans="2:27" s="13" customFormat="1">
      <c r="B282" s="12"/>
      <c r="L282" s="14"/>
      <c r="M282" s="14"/>
      <c r="N282" s="14"/>
      <c r="O282" s="15"/>
      <c r="P282" s="15"/>
      <c r="Q282" s="15"/>
      <c r="R282" s="15"/>
      <c r="S282" s="15"/>
      <c r="T282" s="15"/>
      <c r="U282" s="15"/>
      <c r="V282" s="15"/>
      <c r="W282" s="15"/>
      <c r="X282" s="15"/>
      <c r="Y282" s="15"/>
      <c r="Z282" s="15"/>
      <c r="AA282" s="15"/>
    </row>
    <row r="283" spans="2:27" s="13" customFormat="1">
      <c r="B283" s="12"/>
      <c r="L283" s="14"/>
      <c r="M283" s="14"/>
      <c r="N283" s="14"/>
      <c r="O283" s="15"/>
      <c r="P283" s="15"/>
      <c r="Q283" s="15"/>
      <c r="R283" s="15"/>
      <c r="S283" s="15"/>
      <c r="T283" s="15"/>
      <c r="U283" s="15"/>
      <c r="V283" s="15"/>
      <c r="W283" s="15"/>
      <c r="X283" s="15"/>
      <c r="Y283" s="15"/>
      <c r="Z283" s="15"/>
      <c r="AA283" s="15"/>
    </row>
    <row r="284" spans="2:27" s="13" customFormat="1">
      <c r="B284" s="12"/>
      <c r="L284" s="14"/>
      <c r="M284" s="14"/>
      <c r="N284" s="14"/>
      <c r="O284" s="15"/>
      <c r="P284" s="15"/>
      <c r="Q284" s="15"/>
      <c r="R284" s="15"/>
      <c r="S284" s="15"/>
      <c r="T284" s="15"/>
      <c r="U284" s="15"/>
      <c r="V284" s="15"/>
      <c r="W284" s="15"/>
      <c r="X284" s="15"/>
      <c r="Y284" s="15"/>
      <c r="Z284" s="15"/>
      <c r="AA284" s="15"/>
    </row>
    <row r="285" spans="2:27" s="13" customFormat="1">
      <c r="B285" s="12"/>
      <c r="L285" s="14"/>
      <c r="M285" s="14"/>
      <c r="N285" s="14"/>
      <c r="O285" s="15"/>
      <c r="P285" s="15"/>
      <c r="Q285" s="15"/>
      <c r="R285" s="15"/>
      <c r="S285" s="15"/>
      <c r="T285" s="15"/>
      <c r="U285" s="15"/>
      <c r="V285" s="15"/>
      <c r="W285" s="15"/>
      <c r="X285" s="15"/>
      <c r="Y285" s="15"/>
      <c r="Z285" s="15"/>
      <c r="AA285" s="15"/>
    </row>
    <row r="286" spans="2:27" s="13" customFormat="1">
      <c r="B286" s="12"/>
      <c r="L286" s="14"/>
      <c r="M286" s="14"/>
      <c r="N286" s="14"/>
      <c r="O286" s="15"/>
      <c r="P286" s="15"/>
      <c r="Q286" s="15"/>
      <c r="R286" s="15"/>
      <c r="S286" s="15"/>
      <c r="T286" s="15"/>
      <c r="U286" s="15"/>
      <c r="V286" s="15"/>
      <c r="W286" s="15"/>
      <c r="X286" s="15"/>
      <c r="Y286" s="15"/>
      <c r="Z286" s="15"/>
      <c r="AA286" s="15"/>
    </row>
    <row r="287" spans="2:27" s="13" customFormat="1">
      <c r="B287" s="12"/>
      <c r="L287" s="14"/>
      <c r="M287" s="14"/>
      <c r="N287" s="14"/>
      <c r="O287" s="15"/>
      <c r="P287" s="15"/>
      <c r="Q287" s="15"/>
      <c r="R287" s="15"/>
      <c r="S287" s="15"/>
      <c r="T287" s="15"/>
      <c r="U287" s="15"/>
      <c r="V287" s="15"/>
      <c r="W287" s="15"/>
      <c r="X287" s="15"/>
      <c r="Y287" s="15"/>
      <c r="Z287" s="15"/>
      <c r="AA287" s="15"/>
    </row>
    <row r="288" spans="2:27" s="13" customFormat="1">
      <c r="B288" s="12"/>
      <c r="L288" s="14"/>
      <c r="M288" s="14"/>
      <c r="N288" s="14"/>
      <c r="O288" s="15"/>
      <c r="P288" s="15"/>
      <c r="Q288" s="15"/>
      <c r="R288" s="15"/>
      <c r="S288" s="15"/>
      <c r="T288" s="15"/>
      <c r="U288" s="15"/>
      <c r="V288" s="15"/>
      <c r="W288" s="15"/>
      <c r="X288" s="15"/>
      <c r="Y288" s="15"/>
      <c r="Z288" s="15"/>
      <c r="AA288" s="15"/>
    </row>
    <row r="289" spans="2:27" s="13" customFormat="1">
      <c r="B289" s="12"/>
      <c r="L289" s="14"/>
      <c r="M289" s="14"/>
      <c r="N289" s="14"/>
      <c r="O289" s="15"/>
      <c r="P289" s="15"/>
      <c r="Q289" s="15"/>
      <c r="R289" s="15"/>
      <c r="S289" s="15"/>
      <c r="T289" s="15"/>
      <c r="U289" s="15"/>
      <c r="V289" s="15"/>
      <c r="W289" s="15"/>
      <c r="X289" s="15"/>
      <c r="Y289" s="15"/>
      <c r="Z289" s="15"/>
      <c r="AA289" s="15"/>
    </row>
    <row r="290" spans="2:27" s="13" customFormat="1">
      <c r="B290" s="12"/>
      <c r="L290" s="14"/>
      <c r="M290" s="14"/>
      <c r="N290" s="14"/>
      <c r="O290" s="15"/>
      <c r="P290" s="15"/>
      <c r="Q290" s="15"/>
      <c r="R290" s="15"/>
      <c r="S290" s="15"/>
      <c r="T290" s="15"/>
      <c r="U290" s="15"/>
      <c r="V290" s="15"/>
      <c r="W290" s="15"/>
      <c r="X290" s="15"/>
      <c r="Y290" s="15"/>
      <c r="Z290" s="15"/>
      <c r="AA290" s="15"/>
    </row>
    <row r="291" spans="2:27" s="13" customFormat="1">
      <c r="B291" s="12"/>
      <c r="L291" s="14"/>
      <c r="M291" s="14"/>
      <c r="N291" s="14"/>
      <c r="O291" s="15"/>
      <c r="P291" s="15"/>
      <c r="Q291" s="15"/>
      <c r="R291" s="15"/>
      <c r="S291" s="15"/>
      <c r="T291" s="15"/>
      <c r="U291" s="15"/>
      <c r="V291" s="15"/>
      <c r="W291" s="15"/>
      <c r="X291" s="15"/>
      <c r="Y291" s="15"/>
      <c r="Z291" s="15"/>
      <c r="AA291" s="15"/>
    </row>
    <row r="292" spans="2:27" s="13" customFormat="1">
      <c r="B292" s="12"/>
      <c r="L292" s="14"/>
      <c r="M292" s="14"/>
      <c r="N292" s="14"/>
      <c r="O292" s="15"/>
      <c r="P292" s="15"/>
      <c r="Q292" s="15"/>
      <c r="R292" s="15"/>
      <c r="S292" s="15"/>
      <c r="T292" s="15"/>
      <c r="U292" s="15"/>
      <c r="V292" s="15"/>
      <c r="W292" s="15"/>
      <c r="X292" s="15"/>
      <c r="Y292" s="15"/>
      <c r="Z292" s="15"/>
      <c r="AA292" s="15"/>
    </row>
    <row r="293" spans="2:27" s="13" customFormat="1">
      <c r="B293" s="12"/>
      <c r="L293" s="14"/>
      <c r="M293" s="14"/>
      <c r="N293" s="14"/>
      <c r="O293" s="15"/>
      <c r="P293" s="15"/>
      <c r="Q293" s="15"/>
      <c r="R293" s="15"/>
      <c r="S293" s="15"/>
      <c r="T293" s="15"/>
      <c r="U293" s="15"/>
      <c r="V293" s="15"/>
      <c r="W293" s="15"/>
      <c r="X293" s="15"/>
      <c r="Y293" s="15"/>
      <c r="Z293" s="15"/>
      <c r="AA293" s="15"/>
    </row>
    <row r="294" spans="2:27" s="13" customFormat="1">
      <c r="B294" s="12"/>
      <c r="L294" s="14"/>
      <c r="M294" s="14"/>
      <c r="N294" s="14"/>
      <c r="O294" s="15"/>
      <c r="P294" s="15"/>
      <c r="Q294" s="15"/>
      <c r="R294" s="15"/>
      <c r="S294" s="15"/>
      <c r="T294" s="15"/>
      <c r="U294" s="15"/>
      <c r="V294" s="15"/>
      <c r="W294" s="15"/>
      <c r="X294" s="15"/>
      <c r="Y294" s="15"/>
      <c r="Z294" s="15"/>
      <c r="AA294" s="15"/>
    </row>
    <row r="295" spans="2:27" s="13" customFormat="1">
      <c r="B295" s="12"/>
      <c r="L295" s="14"/>
      <c r="M295" s="14"/>
      <c r="N295" s="14"/>
      <c r="O295" s="15"/>
      <c r="P295" s="15"/>
      <c r="Q295" s="15"/>
      <c r="R295" s="15"/>
      <c r="S295" s="15"/>
      <c r="T295" s="15"/>
      <c r="U295" s="15"/>
      <c r="V295" s="15"/>
      <c r="W295" s="15"/>
      <c r="X295" s="15"/>
      <c r="Y295" s="15"/>
      <c r="Z295" s="15"/>
      <c r="AA295" s="15"/>
    </row>
    <row r="296" spans="2:27" s="13" customFormat="1">
      <c r="B296" s="12"/>
      <c r="L296" s="14"/>
      <c r="M296" s="14"/>
      <c r="N296" s="14"/>
      <c r="O296" s="15"/>
      <c r="P296" s="15"/>
      <c r="Q296" s="15"/>
      <c r="R296" s="15"/>
      <c r="S296" s="15"/>
      <c r="T296" s="15"/>
      <c r="U296" s="15"/>
      <c r="V296" s="15"/>
      <c r="W296" s="15"/>
      <c r="X296" s="15"/>
      <c r="Y296" s="15"/>
      <c r="Z296" s="15"/>
      <c r="AA296" s="15"/>
    </row>
    <row r="297" spans="2:27" s="13" customFormat="1">
      <c r="B297" s="12"/>
      <c r="L297" s="14"/>
      <c r="M297" s="14"/>
      <c r="N297" s="14"/>
      <c r="O297" s="15"/>
      <c r="P297" s="15"/>
      <c r="Q297" s="15"/>
      <c r="R297" s="15"/>
      <c r="S297" s="15"/>
      <c r="T297" s="15"/>
      <c r="U297" s="15"/>
      <c r="V297" s="15"/>
      <c r="W297" s="15"/>
      <c r="X297" s="15"/>
      <c r="Y297" s="15"/>
      <c r="Z297" s="15"/>
      <c r="AA297" s="15"/>
    </row>
    <row r="298" spans="2:27" s="13" customFormat="1">
      <c r="B298" s="12"/>
      <c r="L298" s="14"/>
      <c r="M298" s="14"/>
      <c r="N298" s="14"/>
      <c r="O298" s="15"/>
      <c r="P298" s="15"/>
      <c r="Q298" s="15"/>
      <c r="R298" s="15"/>
      <c r="S298" s="15"/>
      <c r="T298" s="15"/>
      <c r="U298" s="15"/>
      <c r="V298" s="15"/>
      <c r="W298" s="15"/>
      <c r="X298" s="15"/>
      <c r="Y298" s="15"/>
      <c r="Z298" s="15"/>
      <c r="AA298" s="15"/>
    </row>
    <row r="299" spans="2:27" s="13" customFormat="1">
      <c r="B299" s="12"/>
      <c r="L299" s="14"/>
      <c r="M299" s="14"/>
      <c r="N299" s="14"/>
      <c r="O299" s="15"/>
      <c r="P299" s="15"/>
      <c r="Q299" s="15"/>
      <c r="R299" s="15"/>
      <c r="S299" s="15"/>
      <c r="T299" s="15"/>
      <c r="U299" s="15"/>
      <c r="V299" s="15"/>
      <c r="W299" s="15"/>
      <c r="X299" s="15"/>
      <c r="Y299" s="15"/>
      <c r="Z299" s="15"/>
      <c r="AA299" s="15"/>
    </row>
    <row r="300" spans="2:27" s="13" customFormat="1">
      <c r="B300" s="12"/>
      <c r="L300" s="14"/>
      <c r="M300" s="14"/>
      <c r="N300" s="14"/>
      <c r="O300" s="15"/>
      <c r="P300" s="15"/>
      <c r="Q300" s="15"/>
      <c r="R300" s="15"/>
      <c r="S300" s="15"/>
      <c r="T300" s="15"/>
      <c r="U300" s="15"/>
      <c r="V300" s="15"/>
      <c r="W300" s="15"/>
      <c r="X300" s="15"/>
      <c r="Y300" s="15"/>
      <c r="Z300" s="15"/>
      <c r="AA300" s="15"/>
    </row>
    <row r="301" spans="2:27" s="13" customFormat="1">
      <c r="B301" s="12"/>
      <c r="L301" s="14"/>
      <c r="M301" s="14"/>
      <c r="N301" s="14"/>
      <c r="O301" s="15"/>
      <c r="P301" s="15"/>
      <c r="Q301" s="15"/>
      <c r="R301" s="15"/>
      <c r="S301" s="15"/>
      <c r="T301" s="15"/>
      <c r="U301" s="15"/>
      <c r="V301" s="15"/>
      <c r="W301" s="15"/>
      <c r="X301" s="15"/>
      <c r="Y301" s="15"/>
      <c r="Z301" s="15"/>
      <c r="AA301" s="15"/>
    </row>
    <row r="302" spans="2:27" s="13" customFormat="1">
      <c r="B302" s="12"/>
      <c r="L302" s="14"/>
      <c r="M302" s="14"/>
      <c r="N302" s="14"/>
      <c r="O302" s="15"/>
      <c r="P302" s="15"/>
      <c r="Q302" s="15"/>
      <c r="R302" s="15"/>
      <c r="S302" s="15"/>
      <c r="T302" s="15"/>
      <c r="U302" s="15"/>
      <c r="V302" s="15"/>
      <c r="W302" s="15"/>
      <c r="X302" s="15"/>
      <c r="Y302" s="15"/>
      <c r="Z302" s="15"/>
      <c r="AA302" s="15"/>
    </row>
    <row r="303" spans="2:27" s="13" customFormat="1">
      <c r="B303" s="12"/>
      <c r="L303" s="14"/>
      <c r="M303" s="14"/>
      <c r="N303" s="14"/>
      <c r="O303" s="15"/>
      <c r="P303" s="15"/>
      <c r="Q303" s="15"/>
      <c r="R303" s="15"/>
      <c r="S303" s="15"/>
      <c r="T303" s="15"/>
      <c r="U303" s="15"/>
      <c r="V303" s="15"/>
      <c r="W303" s="15"/>
      <c r="X303" s="15"/>
      <c r="Y303" s="15"/>
      <c r="Z303" s="15"/>
      <c r="AA303" s="15"/>
    </row>
    <row r="304" spans="2:27" s="13" customFormat="1">
      <c r="B304" s="12"/>
      <c r="L304" s="14"/>
      <c r="M304" s="14"/>
      <c r="N304" s="14"/>
      <c r="O304" s="15"/>
      <c r="P304" s="15"/>
      <c r="Q304" s="15"/>
      <c r="R304" s="15"/>
      <c r="S304" s="15"/>
      <c r="T304" s="15"/>
      <c r="U304" s="15"/>
      <c r="V304" s="15"/>
      <c r="W304" s="15"/>
      <c r="X304" s="15"/>
      <c r="Y304" s="15"/>
      <c r="Z304" s="15"/>
      <c r="AA304" s="15"/>
    </row>
    <row r="305" spans="2:27" s="13" customFormat="1">
      <c r="B305" s="12"/>
      <c r="L305" s="14"/>
      <c r="M305" s="14"/>
      <c r="N305" s="14"/>
      <c r="O305" s="15"/>
      <c r="P305" s="15"/>
      <c r="Q305" s="15"/>
      <c r="R305" s="15"/>
      <c r="S305" s="15"/>
      <c r="T305" s="15"/>
      <c r="U305" s="15"/>
      <c r="V305" s="15"/>
      <c r="W305" s="15"/>
      <c r="X305" s="15"/>
      <c r="Y305" s="15"/>
      <c r="Z305" s="15"/>
      <c r="AA305" s="15"/>
    </row>
    <row r="306" spans="2:27" s="13" customFormat="1">
      <c r="B306" s="12"/>
      <c r="L306" s="14"/>
      <c r="M306" s="14"/>
      <c r="N306" s="14"/>
      <c r="O306" s="15"/>
      <c r="P306" s="15"/>
      <c r="Q306" s="15"/>
      <c r="R306" s="15"/>
      <c r="S306" s="15"/>
      <c r="T306" s="15"/>
      <c r="U306" s="15"/>
      <c r="V306" s="15"/>
      <c r="W306" s="15"/>
      <c r="X306" s="15"/>
      <c r="Y306" s="15"/>
      <c r="Z306" s="15"/>
      <c r="AA306" s="15"/>
    </row>
    <row r="307" spans="2:27" s="13" customFormat="1">
      <c r="B307" s="12"/>
      <c r="L307" s="14"/>
      <c r="M307" s="14"/>
      <c r="N307" s="14"/>
      <c r="O307" s="15"/>
      <c r="P307" s="15"/>
      <c r="Q307" s="15"/>
      <c r="R307" s="15"/>
      <c r="S307" s="15"/>
      <c r="T307" s="15"/>
      <c r="U307" s="15"/>
      <c r="V307" s="15"/>
      <c r="W307" s="15"/>
      <c r="X307" s="15"/>
      <c r="Y307" s="15"/>
      <c r="Z307" s="15"/>
      <c r="AA307" s="15"/>
    </row>
    <row r="308" spans="2:27" s="13" customFormat="1">
      <c r="B308" s="12"/>
      <c r="L308" s="14"/>
      <c r="M308" s="14"/>
      <c r="N308" s="14"/>
      <c r="O308" s="15"/>
      <c r="P308" s="15"/>
      <c r="Q308" s="15"/>
      <c r="R308" s="15"/>
      <c r="S308" s="15"/>
      <c r="T308" s="15"/>
      <c r="U308" s="15"/>
      <c r="V308" s="15"/>
      <c r="W308" s="15"/>
      <c r="X308" s="15"/>
      <c r="Y308" s="15"/>
      <c r="Z308" s="15"/>
      <c r="AA308" s="15"/>
    </row>
    <row r="309" spans="2:27" s="13" customFormat="1">
      <c r="B309" s="12"/>
      <c r="L309" s="14"/>
      <c r="M309" s="14"/>
      <c r="N309" s="14"/>
      <c r="O309" s="15"/>
      <c r="P309" s="15"/>
      <c r="Q309" s="15"/>
      <c r="R309" s="15"/>
      <c r="S309" s="15"/>
      <c r="T309" s="15"/>
      <c r="U309" s="15"/>
      <c r="V309" s="15"/>
      <c r="W309" s="15"/>
      <c r="X309" s="15"/>
      <c r="Y309" s="15"/>
      <c r="Z309" s="15"/>
      <c r="AA309" s="15"/>
    </row>
    <row r="310" spans="2:27" s="13" customFormat="1">
      <c r="B310" s="12"/>
      <c r="L310" s="14"/>
      <c r="M310" s="14"/>
      <c r="N310" s="14"/>
      <c r="O310" s="15"/>
      <c r="P310" s="15"/>
      <c r="Q310" s="15"/>
      <c r="R310" s="15"/>
      <c r="S310" s="15"/>
      <c r="T310" s="15"/>
      <c r="U310" s="15"/>
      <c r="V310" s="15"/>
      <c r="W310" s="15"/>
      <c r="X310" s="15"/>
      <c r="Y310" s="15"/>
      <c r="Z310" s="15"/>
      <c r="AA310" s="15"/>
    </row>
    <row r="311" spans="2:27" s="13" customFormat="1">
      <c r="B311" s="12"/>
      <c r="L311" s="14"/>
      <c r="M311" s="14"/>
      <c r="N311" s="14"/>
      <c r="O311" s="15"/>
      <c r="P311" s="15"/>
      <c r="Q311" s="15"/>
      <c r="R311" s="15"/>
      <c r="S311" s="15"/>
      <c r="T311" s="15"/>
      <c r="U311" s="15"/>
      <c r="V311" s="15"/>
      <c r="W311" s="15"/>
      <c r="X311" s="15"/>
      <c r="Y311" s="15"/>
      <c r="Z311" s="15"/>
      <c r="AA311" s="15"/>
    </row>
    <row r="312" spans="2:27" s="13" customFormat="1">
      <c r="B312" s="12"/>
      <c r="L312" s="14"/>
      <c r="M312" s="14"/>
      <c r="N312" s="14"/>
      <c r="O312" s="15"/>
      <c r="P312" s="15"/>
      <c r="Q312" s="15"/>
      <c r="R312" s="15"/>
      <c r="S312" s="15"/>
      <c r="T312" s="15"/>
      <c r="U312" s="15"/>
      <c r="V312" s="15"/>
      <c r="W312" s="15"/>
      <c r="X312" s="15"/>
      <c r="Y312" s="15"/>
      <c r="Z312" s="15"/>
      <c r="AA312" s="15"/>
    </row>
    <row r="313" spans="2:27" s="13" customFormat="1">
      <c r="B313" s="12"/>
      <c r="L313" s="14"/>
      <c r="M313" s="14"/>
      <c r="N313" s="14"/>
      <c r="O313" s="15"/>
      <c r="P313" s="15"/>
      <c r="Q313" s="15"/>
      <c r="R313" s="15"/>
      <c r="S313" s="15"/>
      <c r="T313" s="15"/>
      <c r="U313" s="15"/>
      <c r="V313" s="15"/>
      <c r="W313" s="15"/>
      <c r="X313" s="15"/>
      <c r="Y313" s="15"/>
      <c r="Z313" s="15"/>
      <c r="AA313" s="15"/>
    </row>
    <row r="314" spans="2:27" s="13" customFormat="1">
      <c r="B314" s="12"/>
      <c r="L314" s="14"/>
      <c r="M314" s="14"/>
      <c r="N314" s="14"/>
      <c r="O314" s="15"/>
      <c r="P314" s="15"/>
      <c r="Q314" s="15"/>
      <c r="R314" s="15"/>
      <c r="S314" s="15"/>
      <c r="T314" s="15"/>
      <c r="U314" s="15"/>
      <c r="V314" s="15"/>
      <c r="W314" s="15"/>
      <c r="X314" s="15"/>
      <c r="Y314" s="15"/>
      <c r="Z314" s="15"/>
      <c r="AA314" s="15"/>
    </row>
    <row r="315" spans="2:27" s="13" customFormat="1">
      <c r="B315" s="12"/>
      <c r="L315" s="14"/>
      <c r="M315" s="14"/>
      <c r="N315" s="14"/>
      <c r="O315" s="15"/>
      <c r="P315" s="15"/>
      <c r="Q315" s="15"/>
      <c r="R315" s="15"/>
      <c r="S315" s="15"/>
      <c r="T315" s="15"/>
      <c r="U315" s="15"/>
      <c r="V315" s="15"/>
      <c r="W315" s="15"/>
      <c r="X315" s="15"/>
      <c r="Y315" s="15"/>
      <c r="Z315" s="15"/>
      <c r="AA315" s="15"/>
    </row>
    <row r="316" spans="2:27" s="13" customFormat="1">
      <c r="B316" s="12"/>
      <c r="L316" s="14"/>
      <c r="M316" s="14"/>
      <c r="N316" s="14"/>
      <c r="O316" s="15"/>
      <c r="P316" s="15"/>
      <c r="Q316" s="15"/>
      <c r="R316" s="15"/>
      <c r="S316" s="15"/>
      <c r="T316" s="15"/>
      <c r="U316" s="15"/>
      <c r="V316" s="15"/>
      <c r="W316" s="15"/>
      <c r="X316" s="15"/>
      <c r="Y316" s="15"/>
      <c r="Z316" s="15"/>
      <c r="AA316" s="15"/>
    </row>
    <row r="317" spans="2:27" s="13" customFormat="1">
      <c r="B317" s="12"/>
      <c r="L317" s="14"/>
      <c r="M317" s="14"/>
      <c r="N317" s="14"/>
      <c r="O317" s="15"/>
      <c r="P317" s="15"/>
      <c r="Q317" s="15"/>
      <c r="R317" s="15"/>
      <c r="S317" s="15"/>
      <c r="T317" s="15"/>
      <c r="U317" s="15"/>
      <c r="V317" s="15"/>
      <c r="W317" s="15"/>
      <c r="X317" s="15"/>
      <c r="Y317" s="15"/>
      <c r="Z317" s="15"/>
      <c r="AA317" s="15"/>
    </row>
    <row r="318" spans="2:27" s="13" customFormat="1">
      <c r="B318" s="12"/>
      <c r="L318" s="14"/>
      <c r="M318" s="14"/>
      <c r="N318" s="14"/>
      <c r="O318" s="15"/>
      <c r="P318" s="15"/>
      <c r="Q318" s="15"/>
      <c r="R318" s="15"/>
      <c r="S318" s="15"/>
      <c r="T318" s="15"/>
      <c r="U318" s="15"/>
      <c r="V318" s="15"/>
      <c r="W318" s="15"/>
      <c r="X318" s="15"/>
      <c r="Y318" s="15"/>
      <c r="Z318" s="15"/>
      <c r="AA318" s="15"/>
    </row>
    <row r="319" spans="2:27" s="13" customFormat="1">
      <c r="B319" s="12"/>
      <c r="L319" s="14"/>
      <c r="M319" s="14"/>
      <c r="N319" s="14"/>
      <c r="O319" s="15"/>
      <c r="P319" s="15"/>
      <c r="Q319" s="15"/>
      <c r="R319" s="15"/>
      <c r="S319" s="15"/>
      <c r="T319" s="15"/>
      <c r="U319" s="15"/>
      <c r="V319" s="15"/>
      <c r="W319" s="15"/>
      <c r="X319" s="15"/>
      <c r="Y319" s="15"/>
      <c r="Z319" s="15"/>
      <c r="AA319" s="15"/>
    </row>
    <row r="320" spans="2:27" s="13" customFormat="1">
      <c r="B320" s="12"/>
      <c r="L320" s="14"/>
      <c r="M320" s="14"/>
      <c r="N320" s="14"/>
      <c r="O320" s="15"/>
      <c r="P320" s="15"/>
      <c r="Q320" s="15"/>
      <c r="R320" s="15"/>
      <c r="S320" s="15"/>
      <c r="T320" s="15"/>
      <c r="U320" s="15"/>
      <c r="V320" s="15"/>
      <c r="W320" s="15"/>
      <c r="X320" s="15"/>
      <c r="Y320" s="15"/>
      <c r="Z320" s="15"/>
      <c r="AA320" s="15"/>
    </row>
    <row r="321" spans="2:27" s="13" customFormat="1">
      <c r="B321" s="12"/>
      <c r="L321" s="14"/>
      <c r="M321" s="14"/>
      <c r="N321" s="14"/>
      <c r="O321" s="15"/>
      <c r="P321" s="15"/>
      <c r="Q321" s="15"/>
      <c r="R321" s="15"/>
      <c r="S321" s="15"/>
      <c r="T321" s="15"/>
      <c r="U321" s="15"/>
      <c r="V321" s="15"/>
      <c r="W321" s="15"/>
      <c r="X321" s="15"/>
      <c r="Y321" s="15"/>
      <c r="Z321" s="15"/>
      <c r="AA321" s="15"/>
    </row>
    <row r="322" spans="2:27" s="13" customFormat="1">
      <c r="B322" s="12"/>
      <c r="L322" s="14"/>
      <c r="M322" s="14"/>
      <c r="N322" s="14"/>
      <c r="O322" s="15"/>
      <c r="P322" s="15"/>
      <c r="Q322" s="15"/>
      <c r="R322" s="15"/>
      <c r="S322" s="15"/>
      <c r="T322" s="15"/>
      <c r="U322" s="15"/>
      <c r="V322" s="15"/>
      <c r="W322" s="15"/>
      <c r="X322" s="15"/>
      <c r="Y322" s="15"/>
      <c r="Z322" s="15"/>
      <c r="AA322" s="15"/>
    </row>
    <row r="323" spans="2:27" s="13" customFormat="1">
      <c r="B323" s="12"/>
      <c r="L323" s="14"/>
      <c r="M323" s="14"/>
      <c r="N323" s="14"/>
      <c r="O323" s="15"/>
      <c r="P323" s="15"/>
      <c r="Q323" s="15"/>
      <c r="R323" s="15"/>
      <c r="S323" s="15"/>
      <c r="T323" s="15"/>
      <c r="U323" s="15"/>
      <c r="V323" s="15"/>
      <c r="W323" s="15"/>
      <c r="X323" s="15"/>
      <c r="Y323" s="15"/>
      <c r="Z323" s="15"/>
      <c r="AA323" s="15"/>
    </row>
    <row r="324" spans="2:27" s="13" customFormat="1">
      <c r="B324" s="12"/>
      <c r="L324" s="14"/>
      <c r="M324" s="14"/>
      <c r="N324" s="14"/>
      <c r="O324" s="15"/>
      <c r="P324" s="15"/>
      <c r="Q324" s="15"/>
      <c r="R324" s="15"/>
      <c r="S324" s="15"/>
      <c r="T324" s="15"/>
      <c r="U324" s="15"/>
      <c r="V324" s="15"/>
      <c r="W324" s="15"/>
      <c r="X324" s="15"/>
      <c r="Y324" s="15"/>
      <c r="Z324" s="15"/>
      <c r="AA324" s="15"/>
    </row>
    <row r="325" spans="2:27" s="13" customFormat="1">
      <c r="B325" s="12"/>
      <c r="L325" s="14"/>
      <c r="M325" s="14"/>
      <c r="N325" s="14"/>
      <c r="O325" s="15"/>
      <c r="P325" s="15"/>
      <c r="Q325" s="15"/>
      <c r="R325" s="15"/>
      <c r="S325" s="15"/>
      <c r="T325" s="15"/>
      <c r="U325" s="15"/>
      <c r="V325" s="15"/>
      <c r="W325" s="15"/>
      <c r="X325" s="15"/>
      <c r="Y325" s="15"/>
      <c r="Z325" s="15"/>
      <c r="AA325" s="15"/>
    </row>
    <row r="326" spans="2:27" s="13" customFormat="1">
      <c r="B326" s="12"/>
      <c r="L326" s="14"/>
      <c r="M326" s="14"/>
      <c r="N326" s="14"/>
      <c r="O326" s="15"/>
      <c r="P326" s="15"/>
      <c r="Q326" s="15"/>
      <c r="R326" s="15"/>
      <c r="S326" s="15"/>
      <c r="T326" s="15"/>
      <c r="U326" s="15"/>
      <c r="V326" s="15"/>
      <c r="W326" s="15"/>
      <c r="X326" s="15"/>
      <c r="Y326" s="15"/>
      <c r="Z326" s="15"/>
      <c r="AA326" s="15"/>
    </row>
    <row r="327" spans="2:27" s="13" customFormat="1">
      <c r="B327" s="12"/>
      <c r="L327" s="14"/>
      <c r="M327" s="14"/>
      <c r="N327" s="14"/>
      <c r="O327" s="15"/>
      <c r="P327" s="15"/>
      <c r="Q327" s="15"/>
      <c r="R327" s="15"/>
      <c r="S327" s="15"/>
      <c r="T327" s="15"/>
      <c r="U327" s="15"/>
      <c r="V327" s="15"/>
      <c r="W327" s="15"/>
      <c r="X327" s="15"/>
      <c r="Y327" s="15"/>
      <c r="Z327" s="15"/>
      <c r="AA327" s="15"/>
    </row>
    <row r="328" spans="2:27" s="13" customFormat="1">
      <c r="B328" s="12"/>
      <c r="L328" s="14"/>
      <c r="M328" s="14"/>
      <c r="N328" s="14"/>
      <c r="O328" s="15"/>
      <c r="P328" s="15"/>
      <c r="Q328" s="15"/>
      <c r="R328" s="15"/>
      <c r="S328" s="15"/>
      <c r="T328" s="15"/>
      <c r="U328" s="15"/>
      <c r="V328" s="15"/>
      <c r="W328" s="15"/>
      <c r="X328" s="15"/>
      <c r="Y328" s="15"/>
      <c r="Z328" s="15"/>
      <c r="AA328" s="15"/>
    </row>
    <row r="329" spans="2:27" s="13" customFormat="1">
      <c r="B329" s="12"/>
      <c r="L329" s="14"/>
      <c r="M329" s="14"/>
      <c r="N329" s="14"/>
      <c r="O329" s="15"/>
      <c r="P329" s="15"/>
      <c r="Q329" s="15"/>
      <c r="R329" s="15"/>
      <c r="S329" s="15"/>
      <c r="T329" s="15"/>
      <c r="U329" s="15"/>
      <c r="V329" s="15"/>
      <c r="W329" s="15"/>
      <c r="X329" s="15"/>
      <c r="Y329" s="15"/>
      <c r="Z329" s="15"/>
      <c r="AA329" s="15"/>
    </row>
    <row r="330" spans="2:27" s="13" customFormat="1">
      <c r="B330" s="12"/>
      <c r="L330" s="14"/>
      <c r="M330" s="14"/>
      <c r="N330" s="14"/>
      <c r="O330" s="15"/>
      <c r="P330" s="15"/>
      <c r="Q330" s="15"/>
      <c r="R330" s="15"/>
      <c r="S330" s="15"/>
      <c r="T330" s="15"/>
      <c r="U330" s="15"/>
      <c r="V330" s="15"/>
      <c r="W330" s="15"/>
      <c r="X330" s="15"/>
      <c r="Y330" s="15"/>
      <c r="Z330" s="15"/>
      <c r="AA330" s="15"/>
    </row>
    <row r="331" spans="2:27" s="13" customFormat="1">
      <c r="B331" s="12"/>
      <c r="L331" s="14"/>
      <c r="M331" s="14"/>
      <c r="N331" s="14"/>
      <c r="O331" s="15"/>
      <c r="P331" s="15"/>
      <c r="Q331" s="15"/>
      <c r="R331" s="15"/>
      <c r="S331" s="15"/>
      <c r="T331" s="15"/>
      <c r="U331" s="15"/>
      <c r="V331" s="15"/>
      <c r="W331" s="15"/>
      <c r="X331" s="15"/>
      <c r="Y331" s="15"/>
      <c r="Z331" s="15"/>
      <c r="AA331" s="15"/>
    </row>
    <row r="332" spans="2:27" s="13" customFormat="1">
      <c r="B332" s="12"/>
      <c r="L332" s="14"/>
      <c r="M332" s="14"/>
      <c r="N332" s="14"/>
      <c r="O332" s="15"/>
      <c r="P332" s="15"/>
      <c r="Q332" s="15"/>
      <c r="R332" s="15"/>
      <c r="S332" s="15"/>
      <c r="T332" s="15"/>
      <c r="U332" s="15"/>
      <c r="V332" s="15"/>
      <c r="W332" s="15"/>
      <c r="X332" s="15"/>
      <c r="Y332" s="15"/>
      <c r="Z332" s="15"/>
      <c r="AA332" s="15"/>
    </row>
    <row r="333" spans="2:27" s="13" customFormat="1">
      <c r="B333" s="12"/>
      <c r="L333" s="14"/>
      <c r="M333" s="14"/>
      <c r="N333" s="14"/>
      <c r="O333" s="15"/>
      <c r="P333" s="15"/>
      <c r="Q333" s="15"/>
      <c r="R333" s="15"/>
      <c r="S333" s="15"/>
      <c r="T333" s="15"/>
      <c r="U333" s="15"/>
      <c r="V333" s="15"/>
      <c r="W333" s="15"/>
      <c r="X333" s="15"/>
      <c r="Y333" s="15"/>
      <c r="Z333" s="15"/>
      <c r="AA333" s="15"/>
    </row>
    <row r="334" spans="2:27" s="13" customFormat="1">
      <c r="B334" s="12"/>
      <c r="L334" s="14"/>
      <c r="M334" s="14"/>
      <c r="N334" s="14"/>
      <c r="O334" s="15"/>
      <c r="P334" s="15"/>
      <c r="Q334" s="15"/>
      <c r="R334" s="15"/>
      <c r="S334" s="15"/>
      <c r="T334" s="15"/>
      <c r="U334" s="15"/>
      <c r="V334" s="15"/>
      <c r="W334" s="15"/>
      <c r="X334" s="15"/>
      <c r="Y334" s="15"/>
      <c r="Z334" s="15"/>
      <c r="AA334" s="15"/>
    </row>
    <row r="335" spans="2:27" s="13" customFormat="1">
      <c r="B335" s="12"/>
      <c r="L335" s="14"/>
      <c r="M335" s="14"/>
      <c r="N335" s="14"/>
      <c r="O335" s="15"/>
      <c r="P335" s="15"/>
      <c r="Q335" s="15"/>
      <c r="R335" s="15"/>
      <c r="S335" s="15"/>
      <c r="T335" s="15"/>
      <c r="U335" s="15"/>
      <c r="V335" s="15"/>
      <c r="W335" s="15"/>
      <c r="X335" s="15"/>
      <c r="Y335" s="15"/>
      <c r="Z335" s="15"/>
      <c r="AA335" s="15"/>
    </row>
    <row r="336" spans="2:27" s="13" customFormat="1">
      <c r="B336" s="12"/>
      <c r="L336" s="14"/>
      <c r="M336" s="14"/>
      <c r="N336" s="14"/>
      <c r="O336" s="15"/>
      <c r="P336" s="15"/>
      <c r="Q336" s="15"/>
      <c r="R336" s="15"/>
      <c r="S336" s="15"/>
      <c r="T336" s="15"/>
      <c r="U336" s="15"/>
      <c r="V336" s="15"/>
      <c r="W336" s="15"/>
      <c r="X336" s="15"/>
      <c r="Y336" s="15"/>
      <c r="Z336" s="15"/>
      <c r="AA336" s="15"/>
    </row>
    <row r="337" spans="2:27" s="13" customFormat="1">
      <c r="B337" s="12"/>
      <c r="L337" s="14"/>
      <c r="M337" s="14"/>
      <c r="N337" s="14"/>
      <c r="O337" s="15"/>
      <c r="P337" s="15"/>
      <c r="Q337" s="15"/>
      <c r="R337" s="15"/>
      <c r="S337" s="15"/>
      <c r="T337" s="15"/>
      <c r="U337" s="15"/>
      <c r="V337" s="15"/>
      <c r="W337" s="15"/>
      <c r="X337" s="15"/>
      <c r="Y337" s="15"/>
      <c r="Z337" s="15"/>
      <c r="AA337" s="15"/>
    </row>
    <row r="338" spans="2:27" s="13" customFormat="1">
      <c r="B338" s="12"/>
      <c r="L338" s="14"/>
      <c r="M338" s="14"/>
      <c r="N338" s="14"/>
      <c r="O338" s="15"/>
      <c r="P338" s="15"/>
      <c r="Q338" s="15"/>
      <c r="R338" s="15"/>
      <c r="S338" s="15"/>
      <c r="T338" s="15"/>
      <c r="U338" s="15"/>
      <c r="V338" s="15"/>
      <c r="W338" s="15"/>
      <c r="X338" s="15"/>
      <c r="Y338" s="15"/>
      <c r="Z338" s="15"/>
      <c r="AA338" s="15"/>
    </row>
    <row r="339" spans="2:27" s="13" customFormat="1">
      <c r="B339" s="12"/>
      <c r="L339" s="14"/>
      <c r="M339" s="14"/>
      <c r="N339" s="14"/>
      <c r="O339" s="15"/>
      <c r="P339" s="15"/>
      <c r="Q339" s="15"/>
      <c r="R339" s="15"/>
      <c r="S339" s="15"/>
      <c r="T339" s="15"/>
      <c r="U339" s="15"/>
      <c r="V339" s="15"/>
      <c r="W339" s="15"/>
      <c r="X339" s="15"/>
      <c r="Y339" s="15"/>
      <c r="Z339" s="15"/>
      <c r="AA339" s="15"/>
    </row>
    <row r="340" spans="2:27" s="13" customFormat="1">
      <c r="B340" s="12"/>
      <c r="L340" s="14"/>
      <c r="M340" s="14"/>
      <c r="N340" s="14"/>
      <c r="O340" s="15"/>
      <c r="P340" s="15"/>
      <c r="Q340" s="15"/>
      <c r="R340" s="15"/>
      <c r="S340" s="15"/>
      <c r="T340" s="15"/>
      <c r="U340" s="15"/>
      <c r="V340" s="15"/>
      <c r="W340" s="15"/>
      <c r="X340" s="15"/>
      <c r="Y340" s="15"/>
      <c r="Z340" s="15"/>
      <c r="AA340" s="15"/>
    </row>
    <row r="341" spans="2:27" s="13" customFormat="1">
      <c r="B341" s="12"/>
      <c r="L341" s="14"/>
      <c r="M341" s="14"/>
      <c r="N341" s="14"/>
      <c r="O341" s="15"/>
      <c r="P341" s="15"/>
      <c r="Q341" s="15"/>
      <c r="R341" s="15"/>
      <c r="S341" s="15"/>
      <c r="T341" s="15"/>
      <c r="U341" s="15"/>
      <c r="V341" s="15"/>
      <c r="W341" s="15"/>
      <c r="X341" s="15"/>
      <c r="Y341" s="15"/>
      <c r="Z341" s="15"/>
      <c r="AA341" s="15"/>
    </row>
    <row r="342" spans="2:27" s="13" customFormat="1">
      <c r="B342" s="12"/>
      <c r="L342" s="14"/>
      <c r="M342" s="14"/>
      <c r="N342" s="14"/>
      <c r="O342" s="15"/>
      <c r="P342" s="15"/>
      <c r="Q342" s="15"/>
      <c r="R342" s="15"/>
      <c r="S342" s="15"/>
      <c r="T342" s="15"/>
      <c r="U342" s="15"/>
      <c r="V342" s="15"/>
      <c r="W342" s="15"/>
      <c r="X342" s="15"/>
      <c r="Y342" s="15"/>
      <c r="Z342" s="15"/>
      <c r="AA342" s="15"/>
    </row>
    <row r="343" spans="2:27" s="13" customFormat="1">
      <c r="B343" s="12"/>
      <c r="L343" s="14"/>
      <c r="M343" s="14"/>
      <c r="N343" s="14"/>
      <c r="O343" s="15"/>
      <c r="P343" s="15"/>
      <c r="Q343" s="15"/>
      <c r="R343" s="15"/>
      <c r="S343" s="15"/>
      <c r="T343" s="15"/>
      <c r="U343" s="15"/>
      <c r="V343" s="15"/>
      <c r="W343" s="15"/>
      <c r="X343" s="15"/>
      <c r="Y343" s="15"/>
      <c r="Z343" s="15"/>
      <c r="AA343" s="15"/>
    </row>
    <row r="344" spans="2:27" s="13" customFormat="1">
      <c r="B344" s="12"/>
      <c r="L344" s="14"/>
      <c r="M344" s="14"/>
      <c r="N344" s="14"/>
      <c r="O344" s="15"/>
      <c r="P344" s="15"/>
      <c r="Q344" s="15"/>
      <c r="R344" s="15"/>
      <c r="S344" s="15"/>
      <c r="T344" s="15"/>
      <c r="U344" s="15"/>
      <c r="V344" s="15"/>
      <c r="W344" s="15"/>
      <c r="X344" s="15"/>
      <c r="Y344" s="15"/>
      <c r="Z344" s="15"/>
      <c r="AA344" s="15"/>
    </row>
    <row r="345" spans="2:27" s="13" customFormat="1">
      <c r="B345" s="12"/>
      <c r="L345" s="14"/>
      <c r="M345" s="14"/>
      <c r="N345" s="14"/>
      <c r="O345" s="15"/>
      <c r="P345" s="15"/>
      <c r="Q345" s="15"/>
      <c r="R345" s="15"/>
      <c r="S345" s="15"/>
      <c r="T345" s="15"/>
      <c r="U345" s="15"/>
      <c r="V345" s="15"/>
      <c r="W345" s="15"/>
      <c r="X345" s="15"/>
      <c r="Y345" s="15"/>
      <c r="Z345" s="15"/>
      <c r="AA345" s="15"/>
    </row>
    <row r="346" spans="2:27" s="13" customFormat="1">
      <c r="B346" s="12"/>
      <c r="L346" s="14"/>
      <c r="M346" s="14"/>
      <c r="N346" s="14"/>
      <c r="O346" s="15"/>
      <c r="P346" s="15"/>
      <c r="Q346" s="15"/>
      <c r="R346" s="15"/>
      <c r="S346" s="15"/>
      <c r="T346" s="15"/>
      <c r="U346" s="15"/>
      <c r="V346" s="15"/>
      <c r="W346" s="15"/>
      <c r="X346" s="15"/>
      <c r="Y346" s="15"/>
      <c r="Z346" s="15"/>
      <c r="AA346" s="15"/>
    </row>
    <row r="347" spans="2:27" s="13" customFormat="1">
      <c r="B347" s="12"/>
      <c r="L347" s="14"/>
      <c r="M347" s="14"/>
      <c r="N347" s="14"/>
      <c r="O347" s="15"/>
      <c r="P347" s="15"/>
      <c r="Q347" s="15"/>
      <c r="R347" s="15"/>
      <c r="S347" s="15"/>
      <c r="T347" s="15"/>
      <c r="U347" s="15"/>
      <c r="V347" s="15"/>
      <c r="W347" s="15"/>
      <c r="X347" s="15"/>
      <c r="Y347" s="15"/>
      <c r="Z347" s="15"/>
      <c r="AA347" s="15"/>
    </row>
    <row r="348" spans="2:27" s="13" customFormat="1">
      <c r="B348" s="12"/>
      <c r="L348" s="14"/>
      <c r="M348" s="14"/>
      <c r="N348" s="14"/>
      <c r="O348" s="15"/>
      <c r="P348" s="15"/>
      <c r="Q348" s="15"/>
      <c r="R348" s="15"/>
      <c r="S348" s="15"/>
      <c r="T348" s="15"/>
      <c r="U348" s="15"/>
      <c r="V348" s="15"/>
      <c r="W348" s="15"/>
      <c r="X348" s="15"/>
      <c r="Y348" s="15"/>
      <c r="Z348" s="15"/>
      <c r="AA348" s="15"/>
    </row>
    <row r="349" spans="2:27" s="13" customFormat="1">
      <c r="B349" s="12"/>
      <c r="L349" s="14"/>
      <c r="M349" s="14"/>
      <c r="N349" s="14"/>
      <c r="O349" s="15"/>
      <c r="P349" s="15"/>
      <c r="Q349" s="15"/>
      <c r="R349" s="15"/>
      <c r="S349" s="15"/>
      <c r="T349" s="15"/>
      <c r="U349" s="15"/>
      <c r="V349" s="15"/>
      <c r="W349" s="15"/>
      <c r="X349" s="15"/>
      <c r="Y349" s="15"/>
      <c r="Z349" s="15"/>
      <c r="AA349" s="15"/>
    </row>
    <row r="350" spans="2:27" s="13" customFormat="1">
      <c r="B350" s="12"/>
      <c r="L350" s="14"/>
      <c r="M350" s="14"/>
      <c r="N350" s="14"/>
      <c r="O350" s="15"/>
      <c r="P350" s="15"/>
      <c r="Q350" s="15"/>
      <c r="R350" s="15"/>
      <c r="S350" s="15"/>
      <c r="T350" s="15"/>
      <c r="U350" s="15"/>
      <c r="V350" s="15"/>
      <c r="W350" s="15"/>
      <c r="X350" s="15"/>
      <c r="Y350" s="15"/>
      <c r="Z350" s="15"/>
      <c r="AA350" s="15"/>
    </row>
    <row r="351" spans="2:27" s="13" customFormat="1">
      <c r="B351" s="12"/>
      <c r="L351" s="14"/>
      <c r="M351" s="14"/>
      <c r="N351" s="14"/>
      <c r="O351" s="15"/>
      <c r="P351" s="15"/>
      <c r="Q351" s="15"/>
      <c r="R351" s="15"/>
      <c r="S351" s="15"/>
      <c r="T351" s="15"/>
      <c r="U351" s="15"/>
      <c r="V351" s="15"/>
      <c r="W351" s="15"/>
      <c r="X351" s="15"/>
      <c r="Y351" s="15"/>
      <c r="Z351" s="15"/>
      <c r="AA351" s="15"/>
    </row>
    <row r="352" spans="2:27" s="13" customFormat="1">
      <c r="B352" s="12"/>
      <c r="L352" s="14"/>
      <c r="M352" s="14"/>
      <c r="N352" s="14"/>
      <c r="O352" s="15"/>
      <c r="P352" s="15"/>
      <c r="Q352" s="15"/>
      <c r="R352" s="15"/>
      <c r="S352" s="15"/>
      <c r="T352" s="15"/>
      <c r="U352" s="15"/>
      <c r="V352" s="15"/>
      <c r="W352" s="15"/>
      <c r="X352" s="15"/>
      <c r="Y352" s="15"/>
      <c r="Z352" s="15"/>
      <c r="AA352" s="15"/>
    </row>
    <row r="353" spans="2:27" s="13" customFormat="1">
      <c r="B353" s="12"/>
      <c r="L353" s="14"/>
      <c r="M353" s="14"/>
      <c r="N353" s="14"/>
      <c r="O353" s="15"/>
      <c r="P353" s="15"/>
      <c r="Q353" s="15"/>
      <c r="R353" s="15"/>
      <c r="S353" s="15"/>
      <c r="T353" s="15"/>
      <c r="U353" s="15"/>
      <c r="V353" s="15"/>
      <c r="W353" s="15"/>
      <c r="X353" s="15"/>
      <c r="Y353" s="15"/>
      <c r="Z353" s="15"/>
      <c r="AA353" s="15"/>
    </row>
    <row r="354" spans="2:27" s="13" customFormat="1">
      <c r="B354" s="12"/>
      <c r="L354" s="14"/>
      <c r="M354" s="14"/>
      <c r="N354" s="14"/>
      <c r="O354" s="15"/>
      <c r="P354" s="15"/>
      <c r="Q354" s="15"/>
      <c r="R354" s="15"/>
      <c r="S354" s="15"/>
      <c r="T354" s="15"/>
      <c r="U354" s="15"/>
      <c r="V354" s="15"/>
      <c r="W354" s="15"/>
      <c r="X354" s="15"/>
      <c r="Y354" s="15"/>
      <c r="Z354" s="15"/>
      <c r="AA354" s="15"/>
    </row>
    <row r="355" spans="2:27" s="13" customFormat="1">
      <c r="B355" s="12"/>
      <c r="L355" s="14"/>
      <c r="M355" s="14"/>
      <c r="N355" s="14"/>
      <c r="O355" s="15"/>
      <c r="P355" s="15"/>
      <c r="Q355" s="15"/>
      <c r="R355" s="15"/>
      <c r="S355" s="15"/>
      <c r="T355" s="15"/>
      <c r="U355" s="15"/>
      <c r="V355" s="15"/>
      <c r="W355" s="15"/>
      <c r="X355" s="15"/>
      <c r="Y355" s="15"/>
      <c r="Z355" s="15"/>
      <c r="AA355" s="15"/>
    </row>
    <row r="356" spans="2:27" s="13" customFormat="1">
      <c r="B356" s="12"/>
      <c r="L356" s="14"/>
      <c r="M356" s="14"/>
      <c r="N356" s="14"/>
      <c r="O356" s="15"/>
      <c r="P356" s="15"/>
      <c r="Q356" s="15"/>
      <c r="R356" s="15"/>
      <c r="S356" s="15"/>
      <c r="T356" s="15"/>
      <c r="U356" s="15"/>
      <c r="V356" s="15"/>
      <c r="W356" s="15"/>
      <c r="X356" s="15"/>
      <c r="Y356" s="15"/>
      <c r="Z356" s="15"/>
      <c r="AA356" s="15"/>
    </row>
    <row r="357" spans="2:27" s="13" customFormat="1">
      <c r="B357" s="12"/>
      <c r="L357" s="14"/>
      <c r="M357" s="14"/>
      <c r="N357" s="14"/>
      <c r="O357" s="15"/>
      <c r="P357" s="15"/>
      <c r="Q357" s="15"/>
      <c r="R357" s="15"/>
      <c r="S357" s="15"/>
      <c r="T357" s="15"/>
      <c r="U357" s="15"/>
      <c r="V357" s="15"/>
      <c r="W357" s="15"/>
      <c r="X357" s="15"/>
      <c r="Y357" s="15"/>
      <c r="Z357" s="15"/>
      <c r="AA357" s="15"/>
    </row>
    <row r="358" spans="2:27" s="13" customFormat="1">
      <c r="B358" s="12"/>
      <c r="L358" s="14"/>
      <c r="M358" s="14"/>
      <c r="N358" s="14"/>
      <c r="O358" s="15"/>
      <c r="P358" s="15"/>
      <c r="Q358" s="15"/>
      <c r="R358" s="15"/>
      <c r="S358" s="15"/>
      <c r="T358" s="15"/>
      <c r="U358" s="15"/>
      <c r="V358" s="15"/>
      <c r="W358" s="15"/>
      <c r="X358" s="15"/>
      <c r="Y358" s="15"/>
      <c r="Z358" s="15"/>
      <c r="AA358" s="15"/>
    </row>
    <row r="359" spans="2:27" s="13" customFormat="1">
      <c r="B359" s="12"/>
      <c r="L359" s="14"/>
      <c r="M359" s="14"/>
      <c r="N359" s="14"/>
      <c r="O359" s="15"/>
      <c r="P359" s="15"/>
      <c r="Q359" s="15"/>
      <c r="R359" s="15"/>
      <c r="S359" s="15"/>
      <c r="T359" s="15"/>
      <c r="U359" s="15"/>
      <c r="V359" s="15"/>
      <c r="W359" s="15"/>
      <c r="X359" s="15"/>
      <c r="Y359" s="15"/>
      <c r="Z359" s="15"/>
      <c r="AA359" s="15"/>
    </row>
    <row r="360" spans="2:27" s="13" customFormat="1">
      <c r="B360" s="12"/>
      <c r="L360" s="14"/>
      <c r="M360" s="14"/>
      <c r="N360" s="14"/>
      <c r="O360" s="15"/>
      <c r="P360" s="15"/>
      <c r="Q360" s="15"/>
      <c r="R360" s="15"/>
      <c r="S360" s="15"/>
      <c r="T360" s="15"/>
      <c r="U360" s="15"/>
      <c r="V360" s="15"/>
      <c r="W360" s="15"/>
      <c r="X360" s="15"/>
      <c r="Y360" s="15"/>
      <c r="Z360" s="15"/>
      <c r="AA360" s="15"/>
    </row>
    <row r="361" spans="2:27" s="13" customFormat="1">
      <c r="B361" s="12"/>
      <c r="L361" s="14"/>
      <c r="M361" s="14"/>
      <c r="N361" s="14"/>
      <c r="O361" s="15"/>
      <c r="P361" s="15"/>
      <c r="Q361" s="15"/>
      <c r="R361" s="15"/>
      <c r="S361" s="15"/>
      <c r="T361" s="15"/>
      <c r="U361" s="15"/>
      <c r="V361" s="15"/>
      <c r="W361" s="15"/>
      <c r="X361" s="15"/>
      <c r="Y361" s="15"/>
      <c r="Z361" s="15"/>
      <c r="AA361" s="15"/>
    </row>
    <row r="362" spans="2:27" s="13" customFormat="1">
      <c r="B362" s="12"/>
      <c r="L362" s="14"/>
      <c r="M362" s="14"/>
      <c r="N362" s="14"/>
      <c r="O362" s="15"/>
      <c r="P362" s="15"/>
      <c r="Q362" s="15"/>
      <c r="R362" s="15"/>
      <c r="S362" s="15"/>
      <c r="T362" s="15"/>
      <c r="U362" s="15"/>
      <c r="V362" s="15"/>
      <c r="W362" s="15"/>
      <c r="X362" s="15"/>
      <c r="Y362" s="15"/>
      <c r="Z362" s="15"/>
      <c r="AA362" s="15"/>
    </row>
    <row r="363" spans="2:27" s="13" customFormat="1">
      <c r="B363" s="12"/>
      <c r="L363" s="14"/>
      <c r="M363" s="14"/>
      <c r="N363" s="14"/>
      <c r="O363" s="15"/>
      <c r="P363" s="15"/>
      <c r="Q363" s="15"/>
      <c r="R363" s="15"/>
      <c r="S363" s="15"/>
      <c r="T363" s="15"/>
      <c r="U363" s="15"/>
      <c r="V363" s="15"/>
      <c r="W363" s="15"/>
      <c r="X363" s="15"/>
      <c r="Y363" s="15"/>
      <c r="Z363" s="15"/>
      <c r="AA363" s="15"/>
    </row>
    <row r="364" spans="2:27" s="13" customFormat="1">
      <c r="B364" s="12"/>
      <c r="L364" s="14"/>
      <c r="M364" s="14"/>
      <c r="N364" s="14"/>
      <c r="O364" s="15"/>
      <c r="P364" s="15"/>
      <c r="Q364" s="15"/>
      <c r="R364" s="15"/>
      <c r="S364" s="15"/>
      <c r="T364" s="15"/>
      <c r="U364" s="15"/>
      <c r="V364" s="15"/>
      <c r="W364" s="15"/>
      <c r="X364" s="15"/>
      <c r="Y364" s="15"/>
      <c r="Z364" s="15"/>
      <c r="AA364" s="15"/>
    </row>
    <row r="365" spans="2:27" s="13" customFormat="1">
      <c r="B365" s="12"/>
      <c r="L365" s="14"/>
      <c r="M365" s="14"/>
      <c r="N365" s="14"/>
      <c r="O365" s="15"/>
      <c r="P365" s="15"/>
      <c r="Q365" s="15"/>
      <c r="R365" s="15"/>
      <c r="S365" s="15"/>
      <c r="T365" s="15"/>
      <c r="U365" s="15"/>
      <c r="V365" s="15"/>
      <c r="W365" s="15"/>
      <c r="X365" s="15"/>
      <c r="Y365" s="15"/>
      <c r="Z365" s="15"/>
      <c r="AA365" s="15"/>
    </row>
    <row r="366" spans="2:27" s="13" customFormat="1">
      <c r="B366" s="12"/>
      <c r="L366" s="14"/>
      <c r="M366" s="14"/>
      <c r="N366" s="14"/>
      <c r="O366" s="15"/>
      <c r="P366" s="15"/>
      <c r="Q366" s="15"/>
      <c r="R366" s="15"/>
      <c r="S366" s="15"/>
      <c r="T366" s="15"/>
      <c r="U366" s="15"/>
      <c r="V366" s="15"/>
      <c r="W366" s="15"/>
      <c r="X366" s="15"/>
      <c r="Y366" s="15"/>
      <c r="Z366" s="15"/>
      <c r="AA366" s="15"/>
    </row>
    <row r="367" spans="2:27" s="13" customFormat="1">
      <c r="B367" s="12"/>
      <c r="L367" s="14"/>
      <c r="M367" s="14"/>
      <c r="N367" s="14"/>
      <c r="O367" s="15"/>
      <c r="P367" s="15"/>
      <c r="Q367" s="15"/>
      <c r="R367" s="15"/>
      <c r="S367" s="15"/>
      <c r="T367" s="15"/>
      <c r="U367" s="15"/>
      <c r="V367" s="15"/>
      <c r="W367" s="15"/>
      <c r="X367" s="15"/>
      <c r="Y367" s="15"/>
      <c r="Z367" s="15"/>
      <c r="AA367" s="15"/>
    </row>
    <row r="368" spans="2:27" s="13" customFormat="1">
      <c r="B368" s="12"/>
      <c r="L368" s="14"/>
      <c r="M368" s="14"/>
      <c r="N368" s="14"/>
      <c r="O368" s="15"/>
      <c r="P368" s="15"/>
      <c r="Q368" s="15"/>
      <c r="R368" s="15"/>
      <c r="S368" s="15"/>
      <c r="T368" s="15"/>
      <c r="U368" s="15"/>
      <c r="V368" s="15"/>
      <c r="W368" s="15"/>
      <c r="X368" s="15"/>
      <c r="Y368" s="15"/>
      <c r="Z368" s="15"/>
      <c r="AA368" s="15"/>
    </row>
    <row r="369" spans="2:27" s="13" customFormat="1">
      <c r="B369" s="12"/>
      <c r="L369" s="14"/>
      <c r="M369" s="14"/>
      <c r="N369" s="14"/>
      <c r="O369" s="15"/>
      <c r="P369" s="15"/>
      <c r="Q369" s="15"/>
      <c r="R369" s="15"/>
      <c r="S369" s="15"/>
      <c r="T369" s="15"/>
      <c r="U369" s="15"/>
      <c r="V369" s="15"/>
      <c r="W369" s="15"/>
      <c r="X369" s="15"/>
      <c r="Y369" s="15"/>
      <c r="Z369" s="15"/>
      <c r="AA369" s="15"/>
    </row>
    <row r="370" spans="2:27" s="13" customFormat="1">
      <c r="B370" s="12"/>
      <c r="L370" s="14"/>
      <c r="M370" s="14"/>
      <c r="N370" s="14"/>
      <c r="O370" s="15"/>
      <c r="P370" s="15"/>
      <c r="Q370" s="15"/>
      <c r="R370" s="15"/>
      <c r="S370" s="15"/>
      <c r="T370" s="15"/>
      <c r="U370" s="15"/>
      <c r="V370" s="15"/>
      <c r="W370" s="15"/>
      <c r="X370" s="15"/>
      <c r="Y370" s="15"/>
      <c r="Z370" s="15"/>
      <c r="AA370" s="15"/>
    </row>
    <row r="371" spans="2:27" s="13" customFormat="1">
      <c r="B371" s="12"/>
      <c r="L371" s="14"/>
      <c r="M371" s="14"/>
      <c r="N371" s="14"/>
      <c r="O371" s="15"/>
      <c r="P371" s="15"/>
      <c r="Q371" s="15"/>
      <c r="R371" s="15"/>
      <c r="S371" s="15"/>
      <c r="T371" s="15"/>
      <c r="U371" s="15"/>
      <c r="V371" s="15"/>
      <c r="W371" s="15"/>
      <c r="X371" s="15"/>
      <c r="Y371" s="15"/>
      <c r="Z371" s="15"/>
      <c r="AA371" s="15"/>
    </row>
    <row r="372" spans="2:27" s="13" customFormat="1">
      <c r="B372" s="12"/>
      <c r="L372" s="14"/>
      <c r="M372" s="14"/>
      <c r="N372" s="14"/>
      <c r="O372" s="15"/>
      <c r="P372" s="15"/>
      <c r="Q372" s="15"/>
      <c r="R372" s="15"/>
      <c r="S372" s="15"/>
      <c r="T372" s="15"/>
      <c r="U372" s="15"/>
      <c r="V372" s="15"/>
      <c r="W372" s="15"/>
      <c r="X372" s="15"/>
      <c r="Y372" s="15"/>
      <c r="Z372" s="15"/>
      <c r="AA372" s="15"/>
    </row>
    <row r="373" spans="2:27" s="13" customFormat="1">
      <c r="B373" s="12"/>
      <c r="L373" s="14"/>
      <c r="M373" s="14"/>
      <c r="N373" s="14"/>
      <c r="O373" s="15"/>
      <c r="P373" s="15"/>
      <c r="Q373" s="15"/>
      <c r="R373" s="15"/>
      <c r="S373" s="15"/>
      <c r="T373" s="15"/>
      <c r="U373" s="15"/>
      <c r="V373" s="15"/>
      <c r="W373" s="15"/>
      <c r="X373" s="15"/>
      <c r="Y373" s="15"/>
      <c r="Z373" s="15"/>
      <c r="AA373" s="15"/>
    </row>
    <row r="374" spans="2:27" s="13" customFormat="1">
      <c r="B374" s="12"/>
      <c r="L374" s="14"/>
      <c r="M374" s="14"/>
      <c r="N374" s="14"/>
      <c r="O374" s="15"/>
      <c r="P374" s="15"/>
      <c r="Q374" s="15"/>
      <c r="R374" s="15"/>
      <c r="S374" s="15"/>
      <c r="T374" s="15"/>
      <c r="U374" s="15"/>
      <c r="V374" s="15"/>
      <c r="W374" s="15"/>
      <c r="X374" s="15"/>
      <c r="Y374" s="15"/>
      <c r="Z374" s="15"/>
      <c r="AA374" s="15"/>
    </row>
    <row r="375" spans="2:27" s="13" customFormat="1">
      <c r="B375" s="12"/>
      <c r="L375" s="14"/>
      <c r="M375" s="14"/>
      <c r="N375" s="14"/>
      <c r="O375" s="15"/>
      <c r="P375" s="15"/>
      <c r="Q375" s="15"/>
      <c r="R375" s="15"/>
      <c r="S375" s="15"/>
      <c r="T375" s="15"/>
      <c r="U375" s="15"/>
      <c r="V375" s="15"/>
      <c r="W375" s="15"/>
      <c r="X375" s="15"/>
      <c r="Y375" s="15"/>
      <c r="Z375" s="15"/>
      <c r="AA375" s="15"/>
    </row>
    <row r="376" spans="2:27" s="13" customFormat="1">
      <c r="B376" s="12"/>
      <c r="L376" s="14"/>
      <c r="M376" s="14"/>
      <c r="N376" s="14"/>
      <c r="O376" s="15"/>
      <c r="P376" s="15"/>
      <c r="Q376" s="15"/>
      <c r="R376" s="15"/>
      <c r="S376" s="15"/>
      <c r="T376" s="15"/>
      <c r="U376" s="15"/>
      <c r="V376" s="15"/>
      <c r="W376" s="15"/>
      <c r="X376" s="15"/>
      <c r="Y376" s="15"/>
      <c r="Z376" s="15"/>
      <c r="AA376" s="15"/>
    </row>
    <row r="377" spans="2:27" s="13" customFormat="1">
      <c r="B377" s="12"/>
      <c r="L377" s="14"/>
      <c r="M377" s="14"/>
      <c r="N377" s="14"/>
      <c r="O377" s="15"/>
      <c r="P377" s="15"/>
      <c r="Q377" s="15"/>
      <c r="R377" s="15"/>
      <c r="S377" s="15"/>
      <c r="T377" s="15"/>
      <c r="U377" s="15"/>
      <c r="V377" s="15"/>
      <c r="W377" s="15"/>
      <c r="X377" s="15"/>
      <c r="Y377" s="15"/>
      <c r="Z377" s="15"/>
      <c r="AA377" s="15"/>
    </row>
    <row r="378" spans="2:27" s="13" customFormat="1">
      <c r="B378" s="12"/>
      <c r="L378" s="14"/>
      <c r="M378" s="14"/>
      <c r="N378" s="14"/>
      <c r="O378" s="15"/>
      <c r="P378" s="15"/>
      <c r="Q378" s="15"/>
      <c r="R378" s="15"/>
      <c r="S378" s="15"/>
      <c r="T378" s="15"/>
      <c r="U378" s="15"/>
      <c r="V378" s="15"/>
      <c r="W378" s="15"/>
      <c r="X378" s="15"/>
      <c r="Y378" s="15"/>
      <c r="Z378" s="15"/>
      <c r="AA378" s="15"/>
    </row>
    <row r="379" spans="2:27" s="13" customFormat="1">
      <c r="B379" s="12"/>
      <c r="L379" s="14"/>
      <c r="M379" s="14"/>
      <c r="N379" s="14"/>
      <c r="O379" s="15"/>
      <c r="P379" s="15"/>
      <c r="Q379" s="15"/>
      <c r="R379" s="15"/>
      <c r="S379" s="15"/>
      <c r="T379" s="15"/>
      <c r="U379" s="15"/>
      <c r="V379" s="15"/>
      <c r="W379" s="15"/>
      <c r="X379" s="15"/>
      <c r="Y379" s="15"/>
      <c r="Z379" s="15"/>
      <c r="AA379" s="15"/>
    </row>
    <row r="380" spans="2:27" s="13" customFormat="1">
      <c r="B380" s="12"/>
      <c r="L380" s="14"/>
      <c r="M380" s="14"/>
      <c r="N380" s="14"/>
      <c r="O380" s="15"/>
      <c r="P380" s="15"/>
      <c r="Q380" s="15"/>
      <c r="R380" s="15"/>
      <c r="S380" s="15"/>
      <c r="T380" s="15"/>
      <c r="U380" s="15"/>
      <c r="V380" s="15"/>
      <c r="W380" s="15"/>
      <c r="X380" s="15"/>
      <c r="Y380" s="15"/>
      <c r="Z380" s="15"/>
      <c r="AA380" s="15"/>
    </row>
    <row r="381" spans="2:27" s="13" customFormat="1">
      <c r="B381" s="12"/>
      <c r="L381" s="14"/>
      <c r="M381" s="14"/>
      <c r="N381" s="14"/>
      <c r="O381" s="15"/>
      <c r="P381" s="15"/>
      <c r="Q381" s="15"/>
      <c r="R381" s="15"/>
      <c r="S381" s="15"/>
      <c r="T381" s="15"/>
      <c r="U381" s="15"/>
      <c r="V381" s="15"/>
      <c r="W381" s="15"/>
      <c r="X381" s="15"/>
      <c r="Y381" s="15"/>
      <c r="Z381" s="15"/>
      <c r="AA381" s="15"/>
    </row>
    <row r="382" spans="2:27" s="13" customFormat="1">
      <c r="B382" s="12"/>
      <c r="L382" s="14"/>
      <c r="M382" s="14"/>
      <c r="N382" s="14"/>
      <c r="O382" s="15"/>
      <c r="P382" s="15"/>
      <c r="Q382" s="15"/>
      <c r="R382" s="15"/>
      <c r="S382" s="15"/>
      <c r="T382" s="15"/>
      <c r="U382" s="15"/>
      <c r="V382" s="15"/>
      <c r="W382" s="15"/>
      <c r="X382" s="15"/>
      <c r="Y382" s="15"/>
      <c r="Z382" s="15"/>
      <c r="AA382" s="15"/>
    </row>
    <row r="383" spans="2:27" s="13" customFormat="1">
      <c r="B383" s="12"/>
      <c r="L383" s="14"/>
      <c r="M383" s="14"/>
      <c r="N383" s="14"/>
      <c r="O383" s="15"/>
      <c r="P383" s="15"/>
      <c r="Q383" s="15"/>
      <c r="R383" s="15"/>
      <c r="S383" s="15"/>
      <c r="T383" s="15"/>
      <c r="U383" s="15"/>
      <c r="V383" s="15"/>
      <c r="W383" s="15"/>
      <c r="X383" s="15"/>
      <c r="Y383" s="15"/>
      <c r="Z383" s="15"/>
      <c r="AA383" s="15"/>
    </row>
    <row r="384" spans="2:27" s="13" customFormat="1">
      <c r="B384" s="12"/>
      <c r="L384" s="14"/>
      <c r="M384" s="14"/>
      <c r="N384" s="14"/>
      <c r="O384" s="15"/>
      <c r="P384" s="15"/>
      <c r="Q384" s="15"/>
      <c r="R384" s="15"/>
      <c r="S384" s="15"/>
      <c r="T384" s="15"/>
      <c r="U384" s="15"/>
      <c r="V384" s="15"/>
      <c r="W384" s="15"/>
      <c r="X384" s="15"/>
      <c r="Y384" s="15"/>
      <c r="Z384" s="15"/>
      <c r="AA384" s="15"/>
    </row>
    <row r="385" spans="2:27" s="13" customFormat="1">
      <c r="B385" s="12"/>
      <c r="L385" s="14"/>
      <c r="M385" s="14"/>
      <c r="N385" s="14"/>
      <c r="O385" s="15"/>
      <c r="P385" s="15"/>
      <c r="Q385" s="15"/>
      <c r="R385" s="15"/>
      <c r="S385" s="15"/>
      <c r="T385" s="15"/>
      <c r="U385" s="15"/>
      <c r="V385" s="15"/>
      <c r="W385" s="15"/>
      <c r="X385" s="15"/>
      <c r="Y385" s="15"/>
      <c r="Z385" s="15"/>
      <c r="AA385" s="15"/>
    </row>
    <row r="386" spans="2:27" s="13" customFormat="1">
      <c r="B386" s="12"/>
      <c r="L386" s="14"/>
      <c r="M386" s="14"/>
      <c r="N386" s="14"/>
      <c r="O386" s="15"/>
      <c r="P386" s="15"/>
      <c r="Q386" s="15"/>
      <c r="R386" s="15"/>
      <c r="S386" s="15"/>
      <c r="T386" s="15"/>
      <c r="U386" s="15"/>
      <c r="V386" s="15"/>
      <c r="W386" s="15"/>
      <c r="X386" s="15"/>
      <c r="Y386" s="15"/>
      <c r="Z386" s="15"/>
      <c r="AA386" s="15"/>
    </row>
    <row r="387" spans="2:27" s="13" customFormat="1">
      <c r="B387" s="12"/>
      <c r="L387" s="14"/>
      <c r="M387" s="14"/>
      <c r="N387" s="14"/>
      <c r="O387" s="15"/>
      <c r="P387" s="15"/>
      <c r="Q387" s="15"/>
      <c r="R387" s="15"/>
      <c r="S387" s="15"/>
      <c r="T387" s="15"/>
      <c r="U387" s="15"/>
      <c r="V387" s="15"/>
      <c r="W387" s="15"/>
      <c r="X387" s="15"/>
      <c r="Y387" s="15"/>
      <c r="Z387" s="15"/>
      <c r="AA387" s="15"/>
    </row>
    <row r="388" spans="2:27" s="13" customFormat="1">
      <c r="B388" s="12"/>
      <c r="L388" s="14"/>
      <c r="M388" s="14"/>
      <c r="N388" s="14"/>
      <c r="O388" s="15"/>
      <c r="P388" s="15"/>
      <c r="Q388" s="15"/>
      <c r="R388" s="15"/>
      <c r="S388" s="15"/>
      <c r="T388" s="15"/>
      <c r="U388" s="15"/>
      <c r="V388" s="15"/>
      <c r="W388" s="15"/>
      <c r="X388" s="15"/>
      <c r="Y388" s="15"/>
      <c r="Z388" s="15"/>
      <c r="AA388" s="15"/>
    </row>
    <row r="389" spans="2:27" s="13" customFormat="1">
      <c r="B389" s="12"/>
      <c r="L389" s="14"/>
      <c r="M389" s="14"/>
      <c r="N389" s="14"/>
      <c r="O389" s="15"/>
      <c r="P389" s="15"/>
      <c r="Q389" s="15"/>
      <c r="R389" s="15"/>
      <c r="S389" s="15"/>
      <c r="T389" s="15"/>
      <c r="U389" s="15"/>
      <c r="V389" s="15"/>
      <c r="W389" s="15"/>
      <c r="X389" s="15"/>
      <c r="Y389" s="15"/>
      <c r="Z389" s="15"/>
      <c r="AA389" s="15"/>
    </row>
    <row r="390" spans="2:27" s="13" customFormat="1">
      <c r="B390" s="12"/>
      <c r="L390" s="14"/>
      <c r="M390" s="14"/>
      <c r="N390" s="14"/>
      <c r="O390" s="15"/>
      <c r="P390" s="15"/>
      <c r="Q390" s="15"/>
      <c r="R390" s="15"/>
      <c r="S390" s="15"/>
      <c r="T390" s="15"/>
      <c r="U390" s="15"/>
      <c r="V390" s="15"/>
      <c r="W390" s="15"/>
      <c r="X390" s="15"/>
      <c r="Y390" s="15"/>
      <c r="Z390" s="15"/>
      <c r="AA390" s="15"/>
    </row>
    <row r="391" spans="2:27" s="13" customFormat="1">
      <c r="B391" s="12"/>
      <c r="L391" s="14"/>
      <c r="M391" s="14"/>
      <c r="N391" s="14"/>
      <c r="O391" s="15"/>
      <c r="P391" s="15"/>
      <c r="Q391" s="15"/>
      <c r="R391" s="15"/>
      <c r="S391" s="15"/>
      <c r="T391" s="15"/>
      <c r="U391" s="15"/>
      <c r="V391" s="15"/>
      <c r="W391" s="15"/>
      <c r="X391" s="15"/>
      <c r="Y391" s="15"/>
      <c r="Z391" s="15"/>
      <c r="AA391" s="15"/>
    </row>
    <row r="392" spans="2:27" s="13" customFormat="1">
      <c r="B392" s="12"/>
      <c r="L392" s="14"/>
      <c r="M392" s="14"/>
      <c r="N392" s="14"/>
      <c r="O392" s="15"/>
      <c r="P392" s="15"/>
      <c r="Q392" s="15"/>
      <c r="R392" s="15"/>
      <c r="S392" s="15"/>
      <c r="T392" s="15"/>
      <c r="U392" s="15"/>
      <c r="V392" s="15"/>
      <c r="W392" s="15"/>
      <c r="X392" s="15"/>
      <c r="Y392" s="15"/>
      <c r="Z392" s="15"/>
      <c r="AA392" s="15"/>
    </row>
    <row r="393" spans="2:27" s="13" customFormat="1">
      <c r="B393" s="12"/>
      <c r="L393" s="14"/>
      <c r="M393" s="14"/>
      <c r="N393" s="14"/>
      <c r="O393" s="15"/>
      <c r="P393" s="15"/>
      <c r="Q393" s="15"/>
      <c r="R393" s="15"/>
      <c r="S393" s="15"/>
      <c r="T393" s="15"/>
      <c r="U393" s="15"/>
      <c r="V393" s="15"/>
      <c r="W393" s="15"/>
      <c r="X393" s="15"/>
      <c r="Y393" s="15"/>
      <c r="Z393" s="15"/>
      <c r="AA393" s="15"/>
    </row>
    <row r="394" spans="2:27" s="13" customFormat="1">
      <c r="B394" s="12"/>
      <c r="L394" s="14"/>
      <c r="M394" s="14"/>
      <c r="N394" s="14"/>
      <c r="O394" s="15"/>
      <c r="P394" s="15"/>
      <c r="Q394" s="15"/>
      <c r="R394" s="15"/>
      <c r="S394" s="15"/>
      <c r="T394" s="15"/>
      <c r="U394" s="15"/>
      <c r="V394" s="15"/>
      <c r="W394" s="15"/>
      <c r="X394" s="15"/>
      <c r="Y394" s="15"/>
      <c r="Z394" s="15"/>
      <c r="AA394" s="15"/>
    </row>
    <row r="395" spans="2:27" s="13" customFormat="1">
      <c r="B395" s="12"/>
      <c r="L395" s="14"/>
      <c r="M395" s="14"/>
      <c r="N395" s="14"/>
      <c r="O395" s="15"/>
      <c r="P395" s="15"/>
      <c r="Q395" s="15"/>
      <c r="R395" s="15"/>
      <c r="S395" s="15"/>
      <c r="T395" s="15"/>
      <c r="U395" s="15"/>
      <c r="V395" s="15"/>
      <c r="W395" s="15"/>
      <c r="X395" s="15"/>
      <c r="Y395" s="15"/>
      <c r="Z395" s="15"/>
      <c r="AA395" s="15"/>
    </row>
    <row r="396" spans="2:27" s="13" customFormat="1">
      <c r="B396" s="12"/>
      <c r="L396" s="14"/>
      <c r="M396" s="14"/>
      <c r="N396" s="14"/>
      <c r="O396" s="15"/>
      <c r="P396" s="15"/>
      <c r="Q396" s="15"/>
      <c r="R396" s="15"/>
      <c r="S396" s="15"/>
      <c r="T396" s="15"/>
      <c r="U396" s="15"/>
      <c r="V396" s="15"/>
      <c r="W396" s="15"/>
      <c r="X396" s="15"/>
      <c r="Y396" s="15"/>
      <c r="Z396" s="15"/>
      <c r="AA396" s="15"/>
    </row>
    <row r="397" spans="2:27" s="13" customFormat="1">
      <c r="B397" s="12"/>
      <c r="L397" s="14"/>
      <c r="M397" s="14"/>
      <c r="N397" s="14"/>
      <c r="O397" s="15"/>
      <c r="P397" s="15"/>
      <c r="Q397" s="15"/>
      <c r="R397" s="15"/>
      <c r="S397" s="15"/>
      <c r="T397" s="15"/>
      <c r="U397" s="15"/>
      <c r="V397" s="15"/>
      <c r="W397" s="15"/>
      <c r="X397" s="15"/>
      <c r="Y397" s="15"/>
      <c r="Z397" s="15"/>
      <c r="AA397" s="15"/>
    </row>
    <row r="398" spans="2:27" s="13" customFormat="1">
      <c r="B398" s="12"/>
      <c r="L398" s="14"/>
      <c r="M398" s="14"/>
      <c r="N398" s="14"/>
      <c r="O398" s="15"/>
      <c r="P398" s="15"/>
      <c r="Q398" s="15"/>
      <c r="R398" s="15"/>
      <c r="S398" s="15"/>
      <c r="T398" s="15"/>
      <c r="U398" s="15"/>
      <c r="V398" s="15"/>
      <c r="W398" s="15"/>
      <c r="X398" s="15"/>
      <c r="Y398" s="15"/>
      <c r="Z398" s="15"/>
      <c r="AA398" s="15"/>
    </row>
    <row r="399" spans="2:27" s="13" customFormat="1">
      <c r="B399" s="12"/>
      <c r="L399" s="14"/>
      <c r="M399" s="14"/>
      <c r="N399" s="14"/>
      <c r="O399" s="15"/>
      <c r="P399" s="15"/>
      <c r="Q399" s="15"/>
      <c r="R399" s="15"/>
      <c r="S399" s="15"/>
      <c r="T399" s="15"/>
      <c r="U399" s="15"/>
      <c r="V399" s="15"/>
      <c r="W399" s="15"/>
      <c r="X399" s="15"/>
      <c r="Y399" s="15"/>
      <c r="Z399" s="15"/>
      <c r="AA399" s="15"/>
    </row>
    <row r="400" spans="2:27" s="13" customFormat="1">
      <c r="B400" s="12"/>
      <c r="L400" s="14"/>
      <c r="M400" s="14"/>
      <c r="N400" s="14"/>
      <c r="O400" s="15"/>
      <c r="P400" s="15"/>
      <c r="Q400" s="15"/>
      <c r="R400" s="15"/>
      <c r="S400" s="15"/>
      <c r="T400" s="15"/>
      <c r="U400" s="15"/>
      <c r="V400" s="15"/>
      <c r="W400" s="15"/>
      <c r="X400" s="15"/>
      <c r="Y400" s="15"/>
      <c r="Z400" s="15"/>
      <c r="AA400" s="15"/>
    </row>
    <row r="401" spans="2:27" s="13" customFormat="1">
      <c r="B401" s="12"/>
      <c r="L401" s="14"/>
      <c r="M401" s="14"/>
      <c r="N401" s="14"/>
      <c r="O401" s="15"/>
      <c r="P401" s="15"/>
      <c r="Q401" s="15"/>
      <c r="R401" s="15"/>
      <c r="S401" s="15"/>
      <c r="T401" s="15"/>
      <c r="U401" s="15"/>
      <c r="V401" s="15"/>
      <c r="W401" s="15"/>
      <c r="X401" s="15"/>
      <c r="Y401" s="15"/>
      <c r="Z401" s="15"/>
      <c r="AA401" s="15"/>
    </row>
    <row r="402" spans="2:27" s="13" customFormat="1">
      <c r="B402" s="12"/>
      <c r="L402" s="14"/>
      <c r="M402" s="14"/>
      <c r="N402" s="14"/>
      <c r="O402" s="15"/>
      <c r="P402" s="15"/>
      <c r="Q402" s="15"/>
      <c r="R402" s="15"/>
      <c r="S402" s="15"/>
      <c r="T402" s="15"/>
      <c r="U402" s="15"/>
      <c r="V402" s="15"/>
      <c r="W402" s="15"/>
      <c r="X402" s="15"/>
      <c r="Y402" s="15"/>
      <c r="Z402" s="15"/>
      <c r="AA402" s="15"/>
    </row>
    <row r="403" spans="2:27" s="13" customFormat="1">
      <c r="B403" s="12"/>
      <c r="L403" s="14"/>
      <c r="M403" s="14"/>
      <c r="N403" s="14"/>
      <c r="O403" s="15"/>
      <c r="P403" s="15"/>
      <c r="Q403" s="15"/>
      <c r="R403" s="15"/>
      <c r="S403" s="15"/>
      <c r="T403" s="15"/>
      <c r="U403" s="15"/>
      <c r="V403" s="15"/>
      <c r="W403" s="15"/>
      <c r="X403" s="15"/>
      <c r="Y403" s="15"/>
      <c r="Z403" s="15"/>
      <c r="AA403" s="15"/>
    </row>
    <row r="404" spans="2:27" s="13" customFormat="1">
      <c r="B404" s="12"/>
      <c r="L404" s="14"/>
      <c r="M404" s="14"/>
      <c r="N404" s="14"/>
      <c r="O404" s="15"/>
      <c r="P404" s="15"/>
      <c r="Q404" s="15"/>
      <c r="R404" s="15"/>
      <c r="S404" s="15"/>
      <c r="T404" s="15"/>
      <c r="U404" s="15"/>
      <c r="V404" s="15"/>
      <c r="W404" s="15"/>
      <c r="X404" s="15"/>
      <c r="Y404" s="15"/>
      <c r="Z404" s="15"/>
      <c r="AA404" s="15"/>
    </row>
    <row r="405" spans="2:27" s="13" customFormat="1">
      <c r="B405" s="12"/>
      <c r="L405" s="14"/>
      <c r="M405" s="14"/>
      <c r="N405" s="14"/>
      <c r="O405" s="15"/>
      <c r="P405" s="15"/>
      <c r="Q405" s="15"/>
      <c r="R405" s="15"/>
      <c r="S405" s="15"/>
      <c r="T405" s="15"/>
      <c r="U405" s="15"/>
      <c r="V405" s="15"/>
      <c r="W405" s="15"/>
      <c r="X405" s="15"/>
      <c r="Y405" s="15"/>
      <c r="Z405" s="15"/>
      <c r="AA405" s="15"/>
    </row>
    <row r="406" spans="2:27" s="13" customFormat="1">
      <c r="B406" s="12"/>
      <c r="L406" s="14"/>
      <c r="M406" s="14"/>
      <c r="N406" s="14"/>
      <c r="O406" s="15"/>
      <c r="P406" s="15"/>
      <c r="Q406" s="15"/>
      <c r="R406" s="15"/>
      <c r="S406" s="15"/>
      <c r="T406" s="15"/>
      <c r="U406" s="15"/>
      <c r="V406" s="15"/>
      <c r="W406" s="15"/>
      <c r="X406" s="15"/>
      <c r="Y406" s="15"/>
      <c r="Z406" s="15"/>
      <c r="AA406" s="15"/>
    </row>
    <row r="407" spans="2:27" s="13" customFormat="1">
      <c r="B407" s="12"/>
      <c r="L407" s="14"/>
      <c r="M407" s="14"/>
      <c r="N407" s="14"/>
      <c r="O407" s="15"/>
      <c r="P407" s="15"/>
      <c r="Q407" s="15"/>
      <c r="R407" s="15"/>
      <c r="S407" s="15"/>
      <c r="T407" s="15"/>
      <c r="U407" s="15"/>
      <c r="V407" s="15"/>
      <c r="W407" s="15"/>
      <c r="X407" s="15"/>
      <c r="Y407" s="15"/>
      <c r="Z407" s="15"/>
      <c r="AA407" s="15"/>
    </row>
    <row r="408" spans="2:27" s="13" customFormat="1">
      <c r="B408" s="12"/>
      <c r="L408" s="14"/>
      <c r="M408" s="14"/>
      <c r="N408" s="14"/>
      <c r="O408" s="15"/>
      <c r="P408" s="15"/>
      <c r="Q408" s="15"/>
      <c r="R408" s="15"/>
      <c r="S408" s="15"/>
      <c r="T408" s="15"/>
      <c r="U408" s="15"/>
      <c r="V408" s="15"/>
      <c r="W408" s="15"/>
      <c r="X408" s="15"/>
      <c r="Y408" s="15"/>
      <c r="Z408" s="15"/>
      <c r="AA408" s="15"/>
    </row>
    <row r="409" spans="2:27" s="13" customFormat="1">
      <c r="B409" s="12"/>
      <c r="L409" s="14"/>
      <c r="M409" s="14"/>
      <c r="N409" s="14"/>
      <c r="O409" s="15"/>
      <c r="P409" s="15"/>
      <c r="Q409" s="15"/>
      <c r="R409" s="15"/>
      <c r="S409" s="15"/>
      <c r="T409" s="15"/>
      <c r="U409" s="15"/>
      <c r="V409" s="15"/>
      <c r="W409" s="15"/>
      <c r="X409" s="15"/>
      <c r="Y409" s="15"/>
      <c r="Z409" s="15"/>
      <c r="AA409" s="15"/>
    </row>
    <row r="410" spans="2:27" s="13" customFormat="1">
      <c r="B410" s="12"/>
      <c r="L410" s="14"/>
      <c r="M410" s="14"/>
      <c r="N410" s="14"/>
      <c r="O410" s="15"/>
      <c r="P410" s="15"/>
      <c r="Q410" s="15"/>
      <c r="R410" s="15"/>
      <c r="S410" s="15"/>
      <c r="T410" s="15"/>
      <c r="U410" s="15"/>
      <c r="V410" s="15"/>
      <c r="W410" s="15"/>
      <c r="X410" s="15"/>
      <c r="Y410" s="15"/>
      <c r="Z410" s="15"/>
      <c r="AA410" s="15"/>
    </row>
    <row r="411" spans="2:27" s="13" customFormat="1">
      <c r="B411" s="12"/>
      <c r="L411" s="14"/>
      <c r="M411" s="14"/>
      <c r="N411" s="14"/>
      <c r="O411" s="15"/>
      <c r="P411" s="15"/>
      <c r="Q411" s="15"/>
      <c r="R411" s="15"/>
      <c r="S411" s="15"/>
      <c r="T411" s="15"/>
      <c r="U411" s="15"/>
      <c r="V411" s="15"/>
      <c r="W411" s="15"/>
      <c r="X411" s="15"/>
      <c r="Y411" s="15"/>
      <c r="Z411" s="15"/>
      <c r="AA411" s="15"/>
    </row>
    <row r="412" spans="2:27" s="13" customFormat="1">
      <c r="B412" s="12"/>
      <c r="L412" s="14"/>
      <c r="M412" s="14"/>
      <c r="N412" s="14"/>
      <c r="O412" s="15"/>
      <c r="P412" s="15"/>
      <c r="Q412" s="15"/>
      <c r="R412" s="15"/>
      <c r="S412" s="15"/>
      <c r="T412" s="15"/>
      <c r="U412" s="15"/>
      <c r="V412" s="15"/>
      <c r="W412" s="15"/>
      <c r="X412" s="15"/>
      <c r="Y412" s="15"/>
      <c r="Z412" s="15"/>
      <c r="AA412" s="15"/>
    </row>
    <row r="413" spans="2:27" s="13" customFormat="1">
      <c r="B413" s="12"/>
      <c r="L413" s="14"/>
      <c r="M413" s="14"/>
      <c r="N413" s="14"/>
      <c r="O413" s="15"/>
      <c r="P413" s="15"/>
      <c r="Q413" s="15"/>
      <c r="R413" s="15"/>
      <c r="S413" s="15"/>
      <c r="T413" s="15"/>
      <c r="U413" s="15"/>
      <c r="V413" s="15"/>
      <c r="W413" s="15"/>
      <c r="X413" s="15"/>
      <c r="Y413" s="15"/>
      <c r="Z413" s="15"/>
      <c r="AA413" s="15"/>
    </row>
    <row r="414" spans="2:27" s="13" customFormat="1">
      <c r="B414" s="12"/>
      <c r="L414" s="14"/>
      <c r="M414" s="14"/>
      <c r="N414" s="14"/>
      <c r="O414" s="15"/>
      <c r="P414" s="15"/>
      <c r="Q414" s="15"/>
      <c r="R414" s="15"/>
      <c r="S414" s="15"/>
      <c r="T414" s="15"/>
      <c r="U414" s="15"/>
      <c r="V414" s="15"/>
      <c r="W414" s="15"/>
      <c r="X414" s="15"/>
      <c r="Y414" s="15"/>
      <c r="Z414" s="15"/>
      <c r="AA414" s="15"/>
    </row>
    <row r="415" spans="2:27" s="13" customFormat="1">
      <c r="B415" s="12"/>
      <c r="L415" s="14"/>
      <c r="M415" s="14"/>
      <c r="N415" s="14"/>
      <c r="O415" s="15"/>
      <c r="P415" s="15"/>
      <c r="Q415" s="15"/>
      <c r="R415" s="15"/>
      <c r="S415" s="15"/>
      <c r="T415" s="15"/>
      <c r="U415" s="15"/>
      <c r="V415" s="15"/>
      <c r="W415" s="15"/>
      <c r="X415" s="15"/>
      <c r="Y415" s="15"/>
      <c r="Z415" s="15"/>
      <c r="AA415" s="15"/>
    </row>
    <row r="416" spans="2:27" s="13" customFormat="1">
      <c r="B416" s="12"/>
      <c r="L416" s="14"/>
      <c r="M416" s="14"/>
      <c r="N416" s="14"/>
      <c r="O416" s="15"/>
      <c r="P416" s="15"/>
      <c r="Q416" s="15"/>
      <c r="R416" s="15"/>
      <c r="S416" s="15"/>
      <c r="T416" s="15"/>
      <c r="U416" s="15"/>
      <c r="V416" s="15"/>
      <c r="W416" s="15"/>
      <c r="X416" s="15"/>
      <c r="Y416" s="15"/>
      <c r="Z416" s="15"/>
      <c r="AA416" s="15"/>
    </row>
    <row r="417" spans="2:27" s="13" customFormat="1">
      <c r="B417" s="12"/>
      <c r="L417" s="14"/>
      <c r="M417" s="14"/>
      <c r="N417" s="14"/>
      <c r="O417" s="15"/>
      <c r="P417" s="15"/>
      <c r="Q417" s="15"/>
      <c r="R417" s="15"/>
      <c r="S417" s="15"/>
      <c r="T417" s="15"/>
      <c r="U417" s="15"/>
      <c r="V417" s="15"/>
      <c r="W417" s="15"/>
      <c r="X417" s="15"/>
      <c r="Y417" s="15"/>
      <c r="Z417" s="15"/>
      <c r="AA417" s="15"/>
    </row>
    <row r="418" spans="2:27" s="13" customFormat="1">
      <c r="B418" s="12"/>
      <c r="L418" s="14"/>
      <c r="M418" s="14"/>
      <c r="N418" s="14"/>
      <c r="O418" s="15"/>
      <c r="P418" s="15"/>
      <c r="Q418" s="15"/>
      <c r="R418" s="15"/>
      <c r="S418" s="15"/>
      <c r="T418" s="15"/>
      <c r="U418" s="15"/>
      <c r="V418" s="15"/>
      <c r="W418" s="15"/>
      <c r="X418" s="15"/>
      <c r="Y418" s="15"/>
      <c r="Z418" s="15"/>
      <c r="AA418" s="15"/>
    </row>
    <row r="419" spans="2:27" s="13" customFormat="1">
      <c r="B419" s="12"/>
      <c r="L419" s="14"/>
      <c r="M419" s="14"/>
      <c r="N419" s="14"/>
      <c r="O419" s="15"/>
      <c r="P419" s="15"/>
      <c r="Q419" s="15"/>
      <c r="R419" s="15"/>
      <c r="S419" s="15"/>
      <c r="T419" s="15"/>
      <c r="U419" s="15"/>
      <c r="V419" s="15"/>
      <c r="W419" s="15"/>
      <c r="X419" s="15"/>
      <c r="Y419" s="15"/>
      <c r="Z419" s="15"/>
      <c r="AA419" s="15"/>
    </row>
    <row r="420" spans="2:27" s="13" customFormat="1">
      <c r="B420" s="12"/>
      <c r="L420" s="14"/>
      <c r="M420" s="14"/>
      <c r="N420" s="14"/>
      <c r="O420" s="15"/>
      <c r="P420" s="15"/>
      <c r="Q420" s="15"/>
      <c r="R420" s="15"/>
      <c r="S420" s="15"/>
      <c r="T420" s="15"/>
      <c r="U420" s="15"/>
      <c r="V420" s="15"/>
      <c r="W420" s="15"/>
      <c r="X420" s="15"/>
      <c r="Y420" s="15"/>
      <c r="Z420" s="15"/>
      <c r="AA420" s="15"/>
    </row>
    <row r="421" spans="2:27" s="13" customFormat="1">
      <c r="B421" s="12"/>
      <c r="L421" s="14"/>
      <c r="M421" s="14"/>
      <c r="N421" s="14"/>
      <c r="O421" s="15"/>
      <c r="P421" s="15"/>
      <c r="Q421" s="15"/>
      <c r="R421" s="15"/>
      <c r="S421" s="15"/>
      <c r="T421" s="15"/>
      <c r="U421" s="15"/>
      <c r="V421" s="15"/>
      <c r="W421" s="15"/>
      <c r="X421" s="15"/>
      <c r="Y421" s="15"/>
      <c r="Z421" s="15"/>
      <c r="AA421" s="15"/>
    </row>
    <row r="422" spans="2:27" s="13" customFormat="1">
      <c r="B422" s="12"/>
      <c r="L422" s="14"/>
      <c r="M422" s="14"/>
      <c r="N422" s="14"/>
      <c r="O422" s="15"/>
      <c r="P422" s="15"/>
      <c r="Q422" s="15"/>
      <c r="R422" s="15"/>
      <c r="S422" s="15"/>
      <c r="T422" s="15"/>
      <c r="U422" s="15"/>
      <c r="V422" s="15"/>
      <c r="W422" s="15"/>
      <c r="X422" s="15"/>
      <c r="Y422" s="15"/>
      <c r="Z422" s="15"/>
      <c r="AA422" s="15"/>
    </row>
    <row r="423" spans="2:27" s="13" customFormat="1">
      <c r="B423" s="12"/>
      <c r="L423" s="14"/>
      <c r="M423" s="14"/>
      <c r="N423" s="14"/>
      <c r="O423" s="15"/>
      <c r="P423" s="15"/>
      <c r="Q423" s="15"/>
      <c r="R423" s="15"/>
      <c r="S423" s="15"/>
      <c r="T423" s="15"/>
      <c r="U423" s="15"/>
      <c r="V423" s="15"/>
      <c r="W423" s="15"/>
      <c r="X423" s="15"/>
      <c r="Y423" s="15"/>
      <c r="Z423" s="15"/>
      <c r="AA423" s="15"/>
    </row>
    <row r="424" spans="2:27" s="13" customFormat="1">
      <c r="B424" s="12"/>
      <c r="L424" s="14"/>
      <c r="M424" s="14"/>
      <c r="N424" s="14"/>
      <c r="O424" s="15"/>
      <c r="P424" s="15"/>
      <c r="Q424" s="15"/>
      <c r="R424" s="15"/>
      <c r="S424" s="15"/>
      <c r="T424" s="15"/>
      <c r="U424" s="15"/>
      <c r="V424" s="15"/>
      <c r="W424" s="15"/>
      <c r="X424" s="15"/>
      <c r="Y424" s="15"/>
      <c r="Z424" s="15"/>
      <c r="AA424" s="15"/>
    </row>
    <row r="425" spans="2:27" s="13" customFormat="1">
      <c r="B425" s="12"/>
      <c r="L425" s="14"/>
      <c r="M425" s="14"/>
      <c r="N425" s="14"/>
      <c r="O425" s="15"/>
      <c r="P425" s="15"/>
      <c r="Q425" s="15"/>
      <c r="R425" s="15"/>
      <c r="S425" s="15"/>
      <c r="T425" s="15"/>
      <c r="U425" s="15"/>
      <c r="V425" s="15"/>
      <c r="W425" s="15"/>
      <c r="X425" s="15"/>
      <c r="Y425" s="15"/>
      <c r="Z425" s="15"/>
      <c r="AA425" s="15"/>
    </row>
    <row r="426" spans="2:27" s="13" customFormat="1">
      <c r="B426" s="12"/>
      <c r="L426" s="14"/>
      <c r="M426" s="14"/>
      <c r="N426" s="14"/>
      <c r="O426" s="15"/>
      <c r="P426" s="15"/>
      <c r="Q426" s="15"/>
      <c r="R426" s="15"/>
      <c r="S426" s="15"/>
      <c r="T426" s="15"/>
      <c r="U426" s="15"/>
      <c r="V426" s="15"/>
      <c r="W426" s="15"/>
      <c r="X426" s="15"/>
      <c r="Y426" s="15"/>
      <c r="Z426" s="15"/>
      <c r="AA426" s="15"/>
    </row>
    <row r="427" spans="2:27" s="13" customFormat="1">
      <c r="B427" s="12"/>
      <c r="L427" s="14"/>
      <c r="M427" s="14"/>
      <c r="N427" s="14"/>
      <c r="O427" s="15"/>
      <c r="P427" s="15"/>
      <c r="Q427" s="15"/>
      <c r="R427" s="15"/>
      <c r="S427" s="15"/>
      <c r="T427" s="15"/>
      <c r="U427" s="15"/>
      <c r="V427" s="15"/>
      <c r="W427" s="15"/>
      <c r="X427" s="15"/>
      <c r="Y427" s="15"/>
      <c r="Z427" s="15"/>
      <c r="AA427" s="15"/>
    </row>
    <row r="428" spans="2:27" s="13" customFormat="1">
      <c r="B428" s="12"/>
      <c r="L428" s="14"/>
      <c r="M428" s="14"/>
      <c r="N428" s="14"/>
      <c r="O428" s="15"/>
      <c r="P428" s="15"/>
      <c r="Q428" s="15"/>
      <c r="R428" s="15"/>
      <c r="S428" s="15"/>
      <c r="T428" s="15"/>
      <c r="U428" s="15"/>
      <c r="V428" s="15"/>
      <c r="W428" s="15"/>
      <c r="X428" s="15"/>
      <c r="Y428" s="15"/>
      <c r="Z428" s="15"/>
      <c r="AA428" s="15"/>
    </row>
    <row r="429" spans="2:27" s="13" customFormat="1">
      <c r="B429" s="12"/>
      <c r="L429" s="14"/>
      <c r="M429" s="14"/>
      <c r="N429" s="14"/>
      <c r="O429" s="15"/>
      <c r="P429" s="15"/>
      <c r="Q429" s="15"/>
      <c r="R429" s="15"/>
      <c r="S429" s="15"/>
      <c r="T429" s="15"/>
      <c r="U429" s="15"/>
      <c r="V429" s="15"/>
      <c r="W429" s="15"/>
      <c r="X429" s="15"/>
      <c r="Y429" s="15"/>
      <c r="Z429" s="15"/>
      <c r="AA429" s="15"/>
    </row>
    <row r="430" spans="2:27" s="13" customFormat="1">
      <c r="B430" s="12"/>
      <c r="L430" s="14"/>
      <c r="M430" s="14"/>
      <c r="N430" s="14"/>
      <c r="O430" s="15"/>
      <c r="P430" s="15"/>
      <c r="Q430" s="15"/>
      <c r="R430" s="15"/>
      <c r="S430" s="15"/>
      <c r="T430" s="15"/>
      <c r="U430" s="15"/>
      <c r="V430" s="15"/>
      <c r="W430" s="15"/>
      <c r="X430" s="15"/>
      <c r="Y430" s="15"/>
      <c r="Z430" s="15"/>
      <c r="AA430" s="15"/>
    </row>
    <row r="431" spans="2:27" s="13" customFormat="1">
      <c r="B431" s="12"/>
      <c r="L431" s="14"/>
      <c r="M431" s="14"/>
      <c r="N431" s="14"/>
      <c r="O431" s="15"/>
      <c r="P431" s="15"/>
      <c r="Q431" s="15"/>
      <c r="R431" s="15"/>
      <c r="S431" s="15"/>
      <c r="T431" s="15"/>
      <c r="U431" s="15"/>
      <c r="V431" s="15"/>
      <c r="W431" s="15"/>
      <c r="X431" s="15"/>
      <c r="Y431" s="15"/>
      <c r="Z431" s="15"/>
      <c r="AA431" s="15"/>
    </row>
    <row r="432" spans="2:27" s="13" customFormat="1">
      <c r="B432" s="12"/>
      <c r="L432" s="14"/>
      <c r="M432" s="14"/>
      <c r="N432" s="14"/>
      <c r="O432" s="15"/>
      <c r="P432" s="15"/>
      <c r="Q432" s="15"/>
      <c r="R432" s="15"/>
      <c r="S432" s="15"/>
      <c r="T432" s="15"/>
      <c r="U432" s="15"/>
      <c r="V432" s="15"/>
      <c r="W432" s="15"/>
      <c r="X432" s="15"/>
      <c r="Y432" s="15"/>
      <c r="Z432" s="15"/>
      <c r="AA432" s="15"/>
    </row>
    <row r="433" spans="2:27" s="13" customFormat="1">
      <c r="B433" s="12"/>
      <c r="L433" s="14"/>
      <c r="M433" s="14"/>
      <c r="N433" s="14"/>
      <c r="O433" s="15"/>
      <c r="P433" s="15"/>
      <c r="Q433" s="15"/>
      <c r="R433" s="15"/>
      <c r="S433" s="15"/>
      <c r="T433" s="15"/>
      <c r="U433" s="15"/>
      <c r="V433" s="15"/>
      <c r="W433" s="15"/>
      <c r="X433" s="15"/>
      <c r="Y433" s="15"/>
      <c r="Z433" s="15"/>
      <c r="AA433" s="15"/>
    </row>
    <row r="434" spans="2:27" s="13" customFormat="1">
      <c r="B434" s="12"/>
      <c r="L434" s="14"/>
      <c r="M434" s="14"/>
      <c r="N434" s="14"/>
      <c r="O434" s="15"/>
      <c r="P434" s="15"/>
      <c r="Q434" s="15"/>
      <c r="R434" s="15"/>
      <c r="S434" s="15"/>
      <c r="T434" s="15"/>
      <c r="U434" s="15"/>
      <c r="V434" s="15"/>
      <c r="W434" s="15"/>
      <c r="X434" s="15"/>
      <c r="Y434" s="15"/>
      <c r="Z434" s="15"/>
      <c r="AA434" s="15"/>
    </row>
    <row r="435" spans="2:27" s="13" customFormat="1">
      <c r="B435" s="12"/>
      <c r="L435" s="14"/>
      <c r="M435" s="14"/>
      <c r="N435" s="14"/>
      <c r="O435" s="15"/>
      <c r="P435" s="15"/>
      <c r="Q435" s="15"/>
      <c r="R435" s="15"/>
      <c r="S435" s="15"/>
      <c r="T435" s="15"/>
      <c r="U435" s="15"/>
      <c r="V435" s="15"/>
      <c r="W435" s="15"/>
      <c r="X435" s="15"/>
      <c r="Y435" s="15"/>
      <c r="Z435" s="15"/>
      <c r="AA435" s="15"/>
    </row>
    <row r="436" spans="2:27" s="13" customFormat="1">
      <c r="B436" s="12"/>
      <c r="L436" s="14"/>
      <c r="M436" s="14"/>
      <c r="N436" s="14"/>
      <c r="O436" s="15"/>
      <c r="P436" s="15"/>
      <c r="Q436" s="15"/>
      <c r="R436" s="15"/>
      <c r="S436" s="15"/>
      <c r="T436" s="15"/>
      <c r="U436" s="15"/>
      <c r="V436" s="15"/>
      <c r="W436" s="15"/>
      <c r="X436" s="15"/>
      <c r="Y436" s="15"/>
      <c r="Z436" s="15"/>
      <c r="AA436" s="15"/>
    </row>
    <row r="437" spans="2:27" s="13" customFormat="1">
      <c r="B437" s="12"/>
      <c r="L437" s="14"/>
      <c r="M437" s="14"/>
      <c r="N437" s="14"/>
      <c r="O437" s="15"/>
      <c r="P437" s="15"/>
      <c r="Q437" s="15"/>
      <c r="R437" s="15"/>
      <c r="S437" s="15"/>
      <c r="T437" s="15"/>
      <c r="U437" s="15"/>
      <c r="V437" s="15"/>
      <c r="W437" s="15"/>
      <c r="X437" s="15"/>
      <c r="Y437" s="15"/>
      <c r="Z437" s="15"/>
      <c r="AA437" s="15"/>
    </row>
    <row r="438" spans="2:27" s="13" customFormat="1">
      <c r="B438" s="12"/>
      <c r="L438" s="14"/>
      <c r="M438" s="14"/>
      <c r="N438" s="14"/>
      <c r="O438" s="15"/>
      <c r="P438" s="15"/>
      <c r="Q438" s="15"/>
      <c r="R438" s="15"/>
      <c r="S438" s="15"/>
      <c r="T438" s="15"/>
      <c r="U438" s="15"/>
      <c r="V438" s="15"/>
      <c r="W438" s="15"/>
      <c r="X438" s="15"/>
      <c r="Y438" s="15"/>
      <c r="Z438" s="15"/>
      <c r="AA438" s="15"/>
    </row>
    <row r="439" spans="2:27" s="13" customFormat="1">
      <c r="B439" s="12"/>
      <c r="L439" s="14"/>
      <c r="M439" s="14"/>
      <c r="N439" s="14"/>
      <c r="O439" s="15"/>
      <c r="P439" s="15"/>
      <c r="Q439" s="15"/>
      <c r="R439" s="15"/>
      <c r="S439" s="15"/>
      <c r="T439" s="15"/>
      <c r="U439" s="15"/>
      <c r="V439" s="15"/>
      <c r="W439" s="15"/>
      <c r="X439" s="15"/>
      <c r="Y439" s="15"/>
      <c r="Z439" s="15"/>
      <c r="AA439" s="15"/>
    </row>
    <row r="440" spans="2:27" s="13" customFormat="1">
      <c r="B440" s="12"/>
      <c r="L440" s="14"/>
      <c r="M440" s="14"/>
      <c r="N440" s="14"/>
      <c r="O440" s="15"/>
      <c r="P440" s="15"/>
      <c r="Q440" s="15"/>
      <c r="R440" s="15"/>
      <c r="S440" s="15"/>
      <c r="T440" s="15"/>
      <c r="U440" s="15"/>
      <c r="V440" s="15"/>
      <c r="W440" s="15"/>
      <c r="X440" s="15"/>
      <c r="Y440" s="15"/>
      <c r="Z440" s="15"/>
      <c r="AA440" s="15"/>
    </row>
    <row r="441" spans="2:27" s="13" customFormat="1">
      <c r="B441" s="12"/>
      <c r="L441" s="14"/>
      <c r="M441" s="14"/>
      <c r="N441" s="14"/>
      <c r="O441" s="15"/>
      <c r="P441" s="15"/>
      <c r="Q441" s="15"/>
      <c r="R441" s="15"/>
      <c r="S441" s="15"/>
      <c r="T441" s="15"/>
      <c r="U441" s="15"/>
      <c r="V441" s="15"/>
      <c r="W441" s="15"/>
      <c r="X441" s="15"/>
      <c r="Y441" s="15"/>
      <c r="Z441" s="15"/>
      <c r="AA441" s="15"/>
    </row>
    <row r="442" spans="2:27" s="13" customFormat="1">
      <c r="B442" s="12"/>
      <c r="L442" s="14"/>
      <c r="M442" s="14"/>
      <c r="N442" s="14"/>
      <c r="O442" s="15"/>
      <c r="P442" s="15"/>
      <c r="Q442" s="15"/>
      <c r="R442" s="15"/>
      <c r="S442" s="15"/>
      <c r="T442" s="15"/>
      <c r="U442" s="15"/>
      <c r="V442" s="15"/>
      <c r="W442" s="15"/>
      <c r="X442" s="15"/>
      <c r="Y442" s="15"/>
      <c r="Z442" s="15"/>
      <c r="AA442" s="15"/>
    </row>
    <row r="443" spans="2:27" s="13" customFormat="1">
      <c r="B443" s="12"/>
      <c r="L443" s="14"/>
      <c r="M443" s="14"/>
      <c r="N443" s="14"/>
      <c r="O443" s="15"/>
      <c r="P443" s="15"/>
      <c r="Q443" s="15"/>
      <c r="R443" s="15"/>
      <c r="S443" s="15"/>
      <c r="T443" s="15"/>
      <c r="U443" s="15"/>
      <c r="V443" s="15"/>
      <c r="W443" s="15"/>
      <c r="X443" s="15"/>
      <c r="Y443" s="15"/>
      <c r="Z443" s="15"/>
      <c r="AA443" s="15"/>
    </row>
    <row r="444" spans="2:27" s="13" customFormat="1">
      <c r="B444" s="12"/>
      <c r="L444" s="14"/>
      <c r="M444" s="14"/>
      <c r="N444" s="14"/>
      <c r="O444" s="15"/>
      <c r="P444" s="15"/>
      <c r="Q444" s="15"/>
      <c r="R444" s="15"/>
      <c r="S444" s="15"/>
      <c r="T444" s="15"/>
      <c r="U444" s="15"/>
      <c r="V444" s="15"/>
      <c r="W444" s="15"/>
      <c r="X444" s="15"/>
      <c r="Y444" s="15"/>
      <c r="Z444" s="15"/>
      <c r="AA444" s="15"/>
    </row>
    <row r="445" spans="2:27" s="13" customFormat="1">
      <c r="B445" s="12"/>
      <c r="L445" s="14"/>
      <c r="M445" s="14"/>
      <c r="N445" s="14"/>
      <c r="O445" s="15"/>
      <c r="P445" s="15"/>
      <c r="Q445" s="15"/>
      <c r="R445" s="15"/>
      <c r="S445" s="15"/>
      <c r="T445" s="15"/>
      <c r="U445" s="15"/>
      <c r="V445" s="15"/>
      <c r="W445" s="15"/>
      <c r="X445" s="15"/>
      <c r="Y445" s="15"/>
      <c r="Z445" s="15"/>
      <c r="AA445" s="15"/>
    </row>
    <row r="446" spans="2:27" s="13" customFormat="1">
      <c r="B446" s="12"/>
      <c r="L446" s="14"/>
      <c r="M446" s="14"/>
      <c r="N446" s="14"/>
      <c r="O446" s="15"/>
      <c r="P446" s="15"/>
      <c r="Q446" s="15"/>
      <c r="R446" s="15"/>
      <c r="S446" s="15"/>
      <c r="T446" s="15"/>
      <c r="U446" s="15"/>
      <c r="V446" s="15"/>
      <c r="W446" s="15"/>
      <c r="X446" s="15"/>
      <c r="Y446" s="15"/>
      <c r="Z446" s="15"/>
      <c r="AA446" s="15"/>
    </row>
    <row r="447" spans="2:27" s="13" customFormat="1">
      <c r="B447" s="12"/>
      <c r="L447" s="14"/>
      <c r="M447" s="14"/>
      <c r="N447" s="14"/>
      <c r="O447" s="15"/>
      <c r="P447" s="15"/>
      <c r="Q447" s="15"/>
      <c r="R447" s="15"/>
      <c r="S447" s="15"/>
      <c r="T447" s="15"/>
      <c r="U447" s="15"/>
      <c r="V447" s="15"/>
      <c r="W447" s="15"/>
      <c r="X447" s="15"/>
      <c r="Y447" s="15"/>
      <c r="Z447" s="15"/>
      <c r="AA447" s="15"/>
    </row>
    <row r="448" spans="2:27" s="13" customFormat="1">
      <c r="B448" s="12"/>
      <c r="L448" s="14"/>
      <c r="M448" s="14"/>
      <c r="N448" s="14"/>
      <c r="O448" s="15"/>
      <c r="P448" s="15"/>
      <c r="Q448" s="15"/>
      <c r="R448" s="15"/>
      <c r="S448" s="15"/>
      <c r="T448" s="15"/>
      <c r="U448" s="15"/>
      <c r="V448" s="15"/>
      <c r="W448" s="15"/>
      <c r="X448" s="15"/>
      <c r="Y448" s="15"/>
      <c r="Z448" s="15"/>
      <c r="AA448" s="15"/>
    </row>
    <row r="449" spans="2:27" s="13" customFormat="1">
      <c r="B449" s="12"/>
      <c r="L449" s="14"/>
      <c r="M449" s="14"/>
      <c r="N449" s="14"/>
      <c r="O449" s="15"/>
      <c r="P449" s="15"/>
      <c r="Q449" s="15"/>
      <c r="R449" s="15"/>
      <c r="S449" s="15"/>
      <c r="T449" s="15"/>
      <c r="U449" s="15"/>
      <c r="V449" s="15"/>
      <c r="W449" s="15"/>
      <c r="X449" s="15"/>
      <c r="Y449" s="15"/>
      <c r="Z449" s="15"/>
      <c r="AA449" s="15"/>
    </row>
    <row r="450" spans="2:27" s="13" customFormat="1">
      <c r="B450" s="12"/>
      <c r="L450" s="14"/>
      <c r="M450" s="14"/>
      <c r="N450" s="14"/>
      <c r="O450" s="15"/>
      <c r="P450" s="15"/>
      <c r="Q450" s="15"/>
      <c r="R450" s="15"/>
      <c r="S450" s="15"/>
      <c r="T450" s="15"/>
      <c r="U450" s="15"/>
      <c r="V450" s="15"/>
      <c r="W450" s="15"/>
      <c r="X450" s="15"/>
      <c r="Y450" s="15"/>
      <c r="Z450" s="15"/>
      <c r="AA450" s="15"/>
    </row>
    <row r="451" spans="2:27" s="13" customFormat="1">
      <c r="B451" s="12"/>
      <c r="L451" s="14"/>
      <c r="M451" s="14"/>
      <c r="N451" s="14"/>
      <c r="O451" s="15"/>
      <c r="P451" s="15"/>
      <c r="Q451" s="15"/>
      <c r="R451" s="15"/>
      <c r="S451" s="15"/>
      <c r="T451" s="15"/>
      <c r="U451" s="15"/>
      <c r="V451" s="15"/>
      <c r="W451" s="15"/>
      <c r="X451" s="15"/>
      <c r="Y451" s="15"/>
      <c r="Z451" s="15"/>
      <c r="AA451" s="15"/>
    </row>
    <row r="452" spans="2:27" s="13" customFormat="1">
      <c r="B452" s="12"/>
      <c r="L452" s="14"/>
      <c r="M452" s="14"/>
      <c r="N452" s="14"/>
      <c r="O452" s="15"/>
      <c r="P452" s="15"/>
      <c r="Q452" s="15"/>
      <c r="R452" s="15"/>
      <c r="S452" s="15"/>
      <c r="T452" s="15"/>
      <c r="U452" s="15"/>
      <c r="V452" s="15"/>
      <c r="W452" s="15"/>
      <c r="X452" s="15"/>
      <c r="Y452" s="15"/>
      <c r="Z452" s="15"/>
      <c r="AA452" s="15"/>
    </row>
    <row r="453" spans="2:27" s="13" customFormat="1">
      <c r="B453" s="12"/>
      <c r="L453" s="14"/>
      <c r="M453" s="14"/>
      <c r="N453" s="14"/>
      <c r="O453" s="15"/>
      <c r="P453" s="15"/>
      <c r="Q453" s="15"/>
      <c r="R453" s="15"/>
      <c r="S453" s="15"/>
      <c r="T453" s="15"/>
      <c r="U453" s="15"/>
      <c r="V453" s="15"/>
      <c r="W453" s="15"/>
      <c r="X453" s="15"/>
      <c r="Y453" s="15"/>
      <c r="Z453" s="15"/>
      <c r="AA453" s="15"/>
    </row>
    <row r="454" spans="2:27" s="13" customFormat="1">
      <c r="B454" s="12"/>
      <c r="L454" s="14"/>
      <c r="M454" s="14"/>
      <c r="N454" s="14"/>
      <c r="O454" s="15"/>
      <c r="P454" s="15"/>
      <c r="Q454" s="15"/>
      <c r="R454" s="15"/>
      <c r="S454" s="15"/>
      <c r="T454" s="15"/>
      <c r="U454" s="15"/>
      <c r="V454" s="15"/>
      <c r="W454" s="15"/>
      <c r="X454" s="15"/>
      <c r="Y454" s="15"/>
      <c r="Z454" s="15"/>
      <c r="AA454" s="15"/>
    </row>
    <row r="455" spans="2:27" s="13" customFormat="1">
      <c r="B455" s="12"/>
      <c r="L455" s="14"/>
      <c r="M455" s="14"/>
      <c r="N455" s="14"/>
      <c r="O455" s="15"/>
      <c r="P455" s="15"/>
      <c r="Q455" s="15"/>
      <c r="R455" s="15"/>
      <c r="S455" s="15"/>
      <c r="T455" s="15"/>
      <c r="U455" s="15"/>
      <c r="V455" s="15"/>
      <c r="W455" s="15"/>
      <c r="X455" s="15"/>
      <c r="Y455" s="15"/>
      <c r="Z455" s="15"/>
      <c r="AA455" s="15"/>
    </row>
    <row r="456" spans="2:27" s="13" customFormat="1">
      <c r="B456" s="12"/>
      <c r="L456" s="14"/>
      <c r="M456" s="14"/>
      <c r="N456" s="14"/>
      <c r="O456" s="15"/>
      <c r="P456" s="15"/>
      <c r="Q456" s="15"/>
      <c r="R456" s="15"/>
      <c r="S456" s="15"/>
      <c r="T456" s="15"/>
      <c r="U456" s="15"/>
      <c r="V456" s="15"/>
      <c r="W456" s="15"/>
      <c r="X456" s="15"/>
      <c r="Y456" s="15"/>
      <c r="Z456" s="15"/>
      <c r="AA456" s="15"/>
    </row>
    <row r="457" spans="2:27" s="13" customFormat="1">
      <c r="B457" s="12"/>
      <c r="L457" s="14"/>
      <c r="M457" s="14"/>
      <c r="N457" s="14"/>
      <c r="O457" s="15"/>
      <c r="P457" s="15"/>
      <c r="Q457" s="15"/>
      <c r="R457" s="15"/>
      <c r="S457" s="15"/>
      <c r="T457" s="15"/>
      <c r="U457" s="15"/>
      <c r="V457" s="15"/>
      <c r="W457" s="15"/>
      <c r="X457" s="15"/>
      <c r="Y457" s="15"/>
      <c r="Z457" s="15"/>
      <c r="AA457" s="15"/>
    </row>
    <row r="458" spans="2:27" s="13" customFormat="1">
      <c r="B458" s="12"/>
      <c r="L458" s="14"/>
      <c r="M458" s="14"/>
      <c r="N458" s="14"/>
      <c r="O458" s="15"/>
      <c r="P458" s="15"/>
      <c r="Q458" s="15"/>
      <c r="R458" s="15"/>
      <c r="S458" s="15"/>
      <c r="T458" s="15"/>
      <c r="U458" s="15"/>
      <c r="V458" s="15"/>
      <c r="W458" s="15"/>
      <c r="X458" s="15"/>
      <c r="Y458" s="15"/>
      <c r="Z458" s="15"/>
      <c r="AA458" s="15"/>
    </row>
    <row r="459" spans="2:27" s="13" customFormat="1">
      <c r="B459" s="12"/>
      <c r="L459" s="14"/>
      <c r="M459" s="14"/>
      <c r="N459" s="14"/>
      <c r="O459" s="15"/>
      <c r="P459" s="15"/>
      <c r="Q459" s="15"/>
      <c r="R459" s="15"/>
      <c r="S459" s="15"/>
      <c r="T459" s="15"/>
      <c r="U459" s="15"/>
      <c r="V459" s="15"/>
      <c r="W459" s="15"/>
      <c r="X459" s="15"/>
      <c r="Y459" s="15"/>
      <c r="Z459" s="15"/>
      <c r="AA459" s="15"/>
    </row>
    <row r="460" spans="2:27" s="13" customFormat="1">
      <c r="B460" s="12"/>
      <c r="L460" s="14"/>
      <c r="M460" s="14"/>
      <c r="N460" s="14"/>
      <c r="O460" s="15"/>
      <c r="P460" s="15"/>
      <c r="Q460" s="15"/>
      <c r="R460" s="15"/>
      <c r="S460" s="15"/>
      <c r="T460" s="15"/>
      <c r="U460" s="15"/>
      <c r="V460" s="15"/>
      <c r="W460" s="15"/>
      <c r="X460" s="15"/>
      <c r="Y460" s="15"/>
      <c r="Z460" s="15"/>
      <c r="AA460" s="15"/>
    </row>
    <row r="461" spans="2:27" s="13" customFormat="1">
      <c r="B461" s="12"/>
      <c r="L461" s="14"/>
      <c r="M461" s="14"/>
      <c r="N461" s="14"/>
      <c r="O461" s="15"/>
      <c r="P461" s="15"/>
      <c r="Q461" s="15"/>
      <c r="R461" s="15"/>
      <c r="S461" s="15"/>
      <c r="T461" s="15"/>
      <c r="U461" s="15"/>
      <c r="V461" s="15"/>
      <c r="W461" s="15"/>
      <c r="X461" s="15"/>
      <c r="Y461" s="15"/>
      <c r="Z461" s="15"/>
      <c r="AA461" s="15"/>
    </row>
    <row r="462" spans="2:27" s="13" customFormat="1">
      <c r="B462" s="12"/>
      <c r="L462" s="14"/>
      <c r="M462" s="14"/>
      <c r="N462" s="14"/>
      <c r="O462" s="15"/>
      <c r="P462" s="15"/>
      <c r="Q462" s="15"/>
      <c r="R462" s="15"/>
      <c r="S462" s="15"/>
      <c r="T462" s="15"/>
      <c r="U462" s="15"/>
      <c r="V462" s="15"/>
      <c r="W462" s="15"/>
      <c r="X462" s="15"/>
      <c r="Y462" s="15"/>
      <c r="Z462" s="15"/>
      <c r="AA462" s="15"/>
    </row>
    <row r="463" spans="2:27" s="13" customFormat="1">
      <c r="B463" s="12"/>
      <c r="L463" s="14"/>
      <c r="M463" s="14"/>
      <c r="N463" s="14"/>
      <c r="O463" s="15"/>
      <c r="P463" s="15"/>
      <c r="Q463" s="15"/>
      <c r="R463" s="15"/>
      <c r="S463" s="15"/>
      <c r="T463" s="15"/>
      <c r="U463" s="15"/>
      <c r="V463" s="15"/>
      <c r="W463" s="15"/>
      <c r="X463" s="15"/>
      <c r="Y463" s="15"/>
      <c r="Z463" s="15"/>
      <c r="AA463" s="15"/>
    </row>
    <row r="464" spans="2:27" s="13" customFormat="1">
      <c r="B464" s="12"/>
      <c r="L464" s="14"/>
      <c r="M464" s="14"/>
      <c r="N464" s="14"/>
      <c r="O464" s="15"/>
      <c r="P464" s="15"/>
      <c r="Q464" s="15"/>
      <c r="R464" s="15"/>
      <c r="S464" s="15"/>
      <c r="T464" s="15"/>
      <c r="U464" s="15"/>
      <c r="V464" s="15"/>
      <c r="W464" s="15"/>
      <c r="X464" s="15"/>
      <c r="Y464" s="15"/>
      <c r="Z464" s="15"/>
      <c r="AA464" s="15"/>
    </row>
    <row r="465" spans="2:27" s="13" customFormat="1">
      <c r="B465" s="12"/>
      <c r="L465" s="14"/>
      <c r="M465" s="14"/>
      <c r="N465" s="14"/>
      <c r="O465" s="15"/>
      <c r="P465" s="15"/>
      <c r="Q465" s="15"/>
      <c r="R465" s="15"/>
      <c r="S465" s="15"/>
      <c r="T465" s="15"/>
      <c r="U465" s="15"/>
      <c r="V465" s="15"/>
      <c r="W465" s="15"/>
      <c r="X465" s="15"/>
      <c r="Y465" s="15"/>
      <c r="Z465" s="15"/>
      <c r="AA465" s="15"/>
    </row>
    <row r="466" spans="2:27" s="13" customFormat="1">
      <c r="B466" s="12"/>
      <c r="L466" s="14"/>
      <c r="M466" s="14"/>
      <c r="N466" s="14"/>
      <c r="O466" s="15"/>
      <c r="P466" s="15"/>
      <c r="Q466" s="15"/>
      <c r="R466" s="15"/>
      <c r="S466" s="15"/>
      <c r="T466" s="15"/>
      <c r="U466" s="15"/>
      <c r="V466" s="15"/>
      <c r="W466" s="15"/>
      <c r="X466" s="15"/>
      <c r="Y466" s="15"/>
      <c r="Z466" s="15"/>
      <c r="AA466" s="15"/>
    </row>
    <row r="467" spans="2:27" s="13" customFormat="1">
      <c r="B467" s="12"/>
      <c r="L467" s="14"/>
      <c r="M467" s="14"/>
      <c r="N467" s="14"/>
      <c r="O467" s="15"/>
      <c r="P467" s="15"/>
      <c r="Q467" s="15"/>
      <c r="R467" s="15"/>
      <c r="S467" s="15"/>
      <c r="T467" s="15"/>
      <c r="U467" s="15"/>
      <c r="V467" s="15"/>
      <c r="W467" s="15"/>
      <c r="X467" s="15"/>
      <c r="Y467" s="15"/>
      <c r="Z467" s="15"/>
      <c r="AA467" s="15"/>
    </row>
    <row r="468" spans="2:27" s="13" customFormat="1">
      <c r="B468" s="12"/>
      <c r="L468" s="14"/>
      <c r="M468" s="14"/>
      <c r="N468" s="14"/>
      <c r="O468" s="15"/>
      <c r="P468" s="15"/>
      <c r="Q468" s="15"/>
      <c r="R468" s="15"/>
      <c r="S468" s="15"/>
      <c r="T468" s="15"/>
      <c r="U468" s="15"/>
      <c r="V468" s="15"/>
      <c r="W468" s="15"/>
      <c r="X468" s="15"/>
      <c r="Y468" s="15"/>
      <c r="Z468" s="15"/>
      <c r="AA468" s="15"/>
    </row>
    <row r="469" spans="2:27" s="13" customFormat="1">
      <c r="B469" s="12"/>
      <c r="L469" s="14"/>
      <c r="M469" s="14"/>
      <c r="N469" s="14"/>
      <c r="O469" s="15"/>
      <c r="P469" s="15"/>
      <c r="Q469" s="15"/>
      <c r="R469" s="15"/>
      <c r="S469" s="15"/>
      <c r="T469" s="15"/>
      <c r="U469" s="15"/>
      <c r="V469" s="15"/>
      <c r="W469" s="15"/>
      <c r="X469" s="15"/>
      <c r="Y469" s="15"/>
      <c r="Z469" s="15"/>
      <c r="AA469" s="15"/>
    </row>
    <row r="470" spans="2:27" s="13" customFormat="1">
      <c r="B470" s="12"/>
      <c r="L470" s="14"/>
      <c r="M470" s="14"/>
      <c r="N470" s="14"/>
      <c r="O470" s="15"/>
      <c r="P470" s="15"/>
      <c r="Q470" s="15"/>
      <c r="R470" s="15"/>
      <c r="S470" s="15"/>
      <c r="T470" s="15"/>
      <c r="U470" s="15"/>
      <c r="V470" s="15"/>
      <c r="W470" s="15"/>
      <c r="X470" s="15"/>
      <c r="Y470" s="15"/>
      <c r="Z470" s="15"/>
      <c r="AA470" s="15"/>
    </row>
    <row r="471" spans="2:27" s="13" customFormat="1">
      <c r="B471" s="12"/>
      <c r="L471" s="14"/>
      <c r="M471" s="14"/>
      <c r="N471" s="14"/>
      <c r="O471" s="15"/>
      <c r="P471" s="15"/>
      <c r="Q471" s="15"/>
      <c r="R471" s="15"/>
      <c r="S471" s="15"/>
      <c r="T471" s="15"/>
      <c r="U471" s="15"/>
      <c r="V471" s="15"/>
      <c r="W471" s="15"/>
      <c r="X471" s="15"/>
      <c r="Y471" s="15"/>
      <c r="Z471" s="15"/>
      <c r="AA471" s="15"/>
    </row>
    <row r="472" spans="2:27" s="13" customFormat="1">
      <c r="B472" s="12"/>
      <c r="L472" s="14"/>
      <c r="M472" s="14"/>
      <c r="N472" s="14"/>
      <c r="O472" s="15"/>
      <c r="P472" s="15"/>
      <c r="Q472" s="15"/>
      <c r="R472" s="15"/>
      <c r="S472" s="15"/>
      <c r="T472" s="15"/>
      <c r="U472" s="15"/>
      <c r="V472" s="15"/>
      <c r="W472" s="15"/>
      <c r="X472" s="15"/>
      <c r="Y472" s="15"/>
      <c r="Z472" s="15"/>
      <c r="AA472" s="15"/>
    </row>
    <row r="473" spans="2:27" s="13" customFormat="1">
      <c r="B473" s="12"/>
      <c r="L473" s="14"/>
      <c r="M473" s="14"/>
      <c r="N473" s="14"/>
      <c r="O473" s="15"/>
      <c r="P473" s="15"/>
      <c r="Q473" s="15"/>
      <c r="R473" s="15"/>
      <c r="S473" s="15"/>
      <c r="T473" s="15"/>
      <c r="U473" s="15"/>
      <c r="V473" s="15"/>
      <c r="W473" s="15"/>
      <c r="X473" s="15"/>
      <c r="Y473" s="15"/>
      <c r="Z473" s="15"/>
      <c r="AA473" s="15"/>
    </row>
    <row r="474" spans="2:27" s="13" customFormat="1">
      <c r="B474" s="12"/>
      <c r="L474" s="14"/>
      <c r="M474" s="14"/>
      <c r="N474" s="14"/>
      <c r="O474" s="15"/>
      <c r="P474" s="15"/>
      <c r="Q474" s="15"/>
      <c r="R474" s="15"/>
      <c r="S474" s="15"/>
      <c r="T474" s="15"/>
      <c r="U474" s="15"/>
      <c r="V474" s="15"/>
      <c r="W474" s="15"/>
      <c r="X474" s="15"/>
      <c r="Y474" s="15"/>
      <c r="Z474" s="15"/>
      <c r="AA474" s="15"/>
    </row>
    <row r="475" spans="2:27" s="13" customFormat="1">
      <c r="B475" s="12"/>
      <c r="L475" s="14"/>
      <c r="M475" s="14"/>
      <c r="N475" s="14"/>
      <c r="O475" s="15"/>
      <c r="P475" s="15"/>
      <c r="Q475" s="15"/>
      <c r="R475" s="15"/>
      <c r="S475" s="15"/>
      <c r="T475" s="15"/>
      <c r="U475" s="15"/>
      <c r="V475" s="15"/>
      <c r="W475" s="15"/>
      <c r="X475" s="15"/>
      <c r="Y475" s="15"/>
      <c r="Z475" s="15"/>
      <c r="AA475" s="15"/>
    </row>
    <row r="476" spans="2:27" s="13" customFormat="1">
      <c r="B476" s="12"/>
      <c r="L476" s="14"/>
      <c r="M476" s="14"/>
      <c r="N476" s="14"/>
      <c r="O476" s="15"/>
      <c r="P476" s="15"/>
      <c r="Q476" s="15"/>
      <c r="R476" s="15"/>
      <c r="S476" s="15"/>
      <c r="T476" s="15"/>
      <c r="U476" s="15"/>
      <c r="V476" s="15"/>
      <c r="W476" s="15"/>
      <c r="X476" s="15"/>
      <c r="Y476" s="15"/>
      <c r="Z476" s="15"/>
      <c r="AA476" s="15"/>
    </row>
    <row r="477" spans="2:27" s="13" customFormat="1">
      <c r="B477" s="12"/>
      <c r="L477" s="14"/>
      <c r="M477" s="14"/>
      <c r="N477" s="14"/>
      <c r="O477" s="15"/>
      <c r="P477" s="15"/>
      <c r="Q477" s="15"/>
      <c r="R477" s="15"/>
      <c r="S477" s="15"/>
      <c r="T477" s="15"/>
      <c r="U477" s="15"/>
      <c r="V477" s="15"/>
      <c r="W477" s="15"/>
      <c r="X477" s="15"/>
      <c r="Y477" s="15"/>
      <c r="Z477" s="15"/>
      <c r="AA477" s="15"/>
    </row>
    <row r="478" spans="2:27" s="13" customFormat="1">
      <c r="B478" s="12"/>
      <c r="L478" s="14"/>
      <c r="M478" s="14"/>
      <c r="N478" s="14"/>
      <c r="O478" s="15"/>
      <c r="P478" s="15"/>
      <c r="Q478" s="15"/>
      <c r="R478" s="15"/>
      <c r="S478" s="15"/>
      <c r="T478" s="15"/>
      <c r="U478" s="15"/>
      <c r="V478" s="15"/>
      <c r="W478" s="15"/>
      <c r="X478" s="15"/>
      <c r="Y478" s="15"/>
      <c r="Z478" s="15"/>
      <c r="AA478" s="15"/>
    </row>
    <row r="479" spans="2:27" s="13" customFormat="1">
      <c r="B479" s="12"/>
      <c r="L479" s="14"/>
      <c r="M479" s="14"/>
      <c r="N479" s="14"/>
      <c r="O479" s="15"/>
      <c r="P479" s="15"/>
      <c r="Q479" s="15"/>
      <c r="R479" s="15"/>
      <c r="S479" s="15"/>
      <c r="T479" s="15"/>
      <c r="U479" s="15"/>
      <c r="V479" s="15"/>
      <c r="W479" s="15"/>
      <c r="X479" s="15"/>
      <c r="Y479" s="15"/>
      <c r="Z479" s="15"/>
      <c r="AA479" s="15"/>
    </row>
    <row r="480" spans="2:27" s="13" customFormat="1">
      <c r="B480" s="12"/>
      <c r="L480" s="14"/>
      <c r="M480" s="14"/>
      <c r="N480" s="14"/>
      <c r="O480" s="15"/>
      <c r="P480" s="15"/>
      <c r="Q480" s="15"/>
      <c r="R480" s="15"/>
      <c r="S480" s="15"/>
      <c r="T480" s="15"/>
      <c r="U480" s="15"/>
      <c r="V480" s="15"/>
      <c r="W480" s="15"/>
      <c r="X480" s="15"/>
      <c r="Y480" s="15"/>
      <c r="Z480" s="15"/>
      <c r="AA480" s="15"/>
    </row>
    <row r="481" spans="2:27" s="13" customFormat="1">
      <c r="B481" s="12"/>
      <c r="L481" s="14"/>
      <c r="M481" s="14"/>
      <c r="N481" s="14"/>
      <c r="O481" s="15"/>
      <c r="P481" s="15"/>
      <c r="Q481" s="15"/>
      <c r="R481" s="15"/>
      <c r="S481" s="15"/>
      <c r="T481" s="15"/>
      <c r="U481" s="15"/>
      <c r="V481" s="15"/>
      <c r="W481" s="15"/>
      <c r="X481" s="15"/>
      <c r="Y481" s="15"/>
      <c r="Z481" s="15"/>
      <c r="AA481" s="15"/>
    </row>
    <row r="482" spans="2:27" s="13" customFormat="1">
      <c r="B482" s="12"/>
      <c r="L482" s="14"/>
      <c r="M482" s="14"/>
      <c r="N482" s="14"/>
      <c r="O482" s="15"/>
      <c r="P482" s="15"/>
      <c r="Q482" s="15"/>
      <c r="R482" s="15"/>
      <c r="S482" s="15"/>
      <c r="T482" s="15"/>
      <c r="U482" s="15"/>
      <c r="V482" s="15"/>
      <c r="W482" s="15"/>
      <c r="X482" s="15"/>
      <c r="Y482" s="15"/>
      <c r="Z482" s="15"/>
      <c r="AA482" s="15"/>
    </row>
    <row r="483" spans="2:27" s="13" customFormat="1">
      <c r="B483" s="12"/>
      <c r="L483" s="14"/>
      <c r="M483" s="14"/>
      <c r="N483" s="14"/>
      <c r="O483" s="15"/>
      <c r="P483" s="15"/>
      <c r="Q483" s="15"/>
      <c r="R483" s="15"/>
      <c r="S483" s="15"/>
      <c r="T483" s="15"/>
      <c r="U483" s="15"/>
      <c r="V483" s="15"/>
      <c r="W483" s="15"/>
      <c r="X483" s="15"/>
      <c r="Y483" s="15"/>
      <c r="Z483" s="15"/>
      <c r="AA483" s="15"/>
    </row>
    <row r="484" spans="2:27" s="13" customFormat="1">
      <c r="B484" s="12"/>
      <c r="L484" s="14"/>
      <c r="M484" s="14"/>
      <c r="N484" s="14"/>
      <c r="O484" s="15"/>
      <c r="P484" s="15"/>
      <c r="Q484" s="15"/>
      <c r="R484" s="15"/>
      <c r="S484" s="15"/>
      <c r="T484" s="15"/>
      <c r="U484" s="15"/>
      <c r="V484" s="15"/>
      <c r="W484" s="15"/>
      <c r="X484" s="15"/>
      <c r="Y484" s="15"/>
      <c r="Z484" s="15"/>
      <c r="AA484" s="15"/>
    </row>
    <row r="485" spans="2:27" s="13" customFormat="1">
      <c r="B485" s="12"/>
      <c r="L485" s="14"/>
      <c r="M485" s="14"/>
      <c r="N485" s="14"/>
      <c r="O485" s="15"/>
      <c r="P485" s="15"/>
      <c r="Q485" s="15"/>
      <c r="R485" s="15"/>
      <c r="S485" s="15"/>
      <c r="T485" s="15"/>
      <c r="U485" s="15"/>
      <c r="V485" s="15"/>
      <c r="W485" s="15"/>
      <c r="X485" s="15"/>
      <c r="Y485" s="15"/>
      <c r="Z485" s="15"/>
      <c r="AA485" s="15"/>
    </row>
    <row r="486" spans="2:27" s="13" customFormat="1">
      <c r="B486" s="12"/>
      <c r="L486" s="14"/>
      <c r="M486" s="14"/>
      <c r="N486" s="14"/>
      <c r="O486" s="15"/>
      <c r="P486" s="15"/>
      <c r="Q486" s="15"/>
      <c r="R486" s="15"/>
      <c r="S486" s="15"/>
      <c r="T486" s="15"/>
      <c r="U486" s="15"/>
      <c r="V486" s="15"/>
      <c r="W486" s="15"/>
      <c r="X486" s="15"/>
      <c r="Y486" s="15"/>
      <c r="Z486" s="15"/>
      <c r="AA486" s="15"/>
    </row>
    <row r="487" spans="2:27" s="13" customFormat="1">
      <c r="B487" s="12"/>
      <c r="L487" s="14"/>
      <c r="M487" s="14"/>
      <c r="N487" s="14"/>
      <c r="O487" s="15"/>
      <c r="P487" s="15"/>
      <c r="Q487" s="15"/>
      <c r="R487" s="15"/>
      <c r="S487" s="15"/>
      <c r="T487" s="15"/>
      <c r="U487" s="15"/>
      <c r="V487" s="15"/>
      <c r="W487" s="15"/>
      <c r="X487" s="15"/>
      <c r="Y487" s="15"/>
      <c r="Z487" s="15"/>
      <c r="AA487" s="15"/>
    </row>
    <row r="488" spans="2:27" s="13" customFormat="1">
      <c r="B488" s="12"/>
      <c r="L488" s="14"/>
      <c r="M488" s="14"/>
      <c r="N488" s="14"/>
      <c r="O488" s="15"/>
      <c r="P488" s="15"/>
      <c r="Q488" s="15"/>
      <c r="R488" s="15"/>
      <c r="S488" s="15"/>
      <c r="T488" s="15"/>
      <c r="U488" s="15"/>
      <c r="V488" s="15"/>
      <c r="W488" s="15"/>
      <c r="X488" s="15"/>
      <c r="Y488" s="15"/>
      <c r="Z488" s="15"/>
      <c r="AA488" s="15"/>
    </row>
    <row r="489" spans="2:27" s="13" customFormat="1">
      <c r="B489" s="12"/>
      <c r="L489" s="14"/>
      <c r="M489" s="14"/>
      <c r="N489" s="14"/>
      <c r="O489" s="15"/>
      <c r="P489" s="15"/>
      <c r="Q489" s="15"/>
      <c r="R489" s="15"/>
      <c r="S489" s="15"/>
      <c r="T489" s="15"/>
      <c r="U489" s="15"/>
      <c r="V489" s="15"/>
      <c r="W489" s="15"/>
      <c r="X489" s="15"/>
      <c r="Y489" s="15"/>
      <c r="Z489" s="15"/>
      <c r="AA489" s="15"/>
    </row>
    <row r="490" spans="2:27" s="13" customFormat="1">
      <c r="B490" s="12"/>
      <c r="L490" s="14"/>
      <c r="M490" s="14"/>
      <c r="N490" s="14"/>
      <c r="O490" s="15"/>
      <c r="P490" s="15"/>
      <c r="Q490" s="15"/>
      <c r="R490" s="15"/>
      <c r="S490" s="15"/>
      <c r="T490" s="15"/>
      <c r="U490" s="15"/>
      <c r="V490" s="15"/>
      <c r="W490" s="15"/>
      <c r="X490" s="15"/>
      <c r="Y490" s="15"/>
      <c r="Z490" s="15"/>
      <c r="AA490" s="15"/>
    </row>
    <row r="491" spans="2:27" s="13" customFormat="1">
      <c r="B491" s="12"/>
      <c r="L491" s="14"/>
      <c r="M491" s="14"/>
      <c r="N491" s="14"/>
      <c r="O491" s="15"/>
      <c r="P491" s="15"/>
      <c r="Q491" s="15"/>
      <c r="R491" s="15"/>
      <c r="S491" s="15"/>
      <c r="T491" s="15"/>
      <c r="U491" s="15"/>
      <c r="V491" s="15"/>
      <c r="W491" s="15"/>
      <c r="X491" s="15"/>
      <c r="Y491" s="15"/>
      <c r="Z491" s="15"/>
      <c r="AA491" s="15"/>
    </row>
    <row r="492" spans="2:27" s="13" customFormat="1">
      <c r="B492" s="12"/>
      <c r="L492" s="14"/>
      <c r="M492" s="14"/>
      <c r="N492" s="14"/>
      <c r="O492" s="15"/>
      <c r="P492" s="15"/>
      <c r="Q492" s="15"/>
      <c r="R492" s="15"/>
      <c r="S492" s="15"/>
      <c r="T492" s="15"/>
      <c r="U492" s="15"/>
      <c r="V492" s="15"/>
      <c r="W492" s="15"/>
      <c r="X492" s="15"/>
      <c r="Y492" s="15"/>
      <c r="Z492" s="15"/>
      <c r="AA492" s="15"/>
    </row>
    <row r="493" spans="2:27" s="13" customFormat="1">
      <c r="B493" s="12"/>
      <c r="L493" s="14"/>
      <c r="M493" s="14"/>
      <c r="N493" s="14"/>
      <c r="O493" s="15"/>
      <c r="P493" s="15"/>
      <c r="Q493" s="15"/>
      <c r="R493" s="15"/>
      <c r="S493" s="15"/>
      <c r="T493" s="15"/>
      <c r="U493" s="15"/>
      <c r="V493" s="15"/>
      <c r="W493" s="15"/>
      <c r="X493" s="15"/>
      <c r="Y493" s="15"/>
      <c r="Z493" s="15"/>
      <c r="AA493" s="15"/>
    </row>
    <row r="494" spans="2:27" s="13" customFormat="1">
      <c r="B494" s="12"/>
      <c r="L494" s="14"/>
      <c r="M494" s="14"/>
      <c r="N494" s="14"/>
      <c r="O494" s="15"/>
      <c r="P494" s="15"/>
      <c r="Q494" s="15"/>
      <c r="R494" s="15"/>
      <c r="S494" s="15"/>
      <c r="T494" s="15"/>
      <c r="U494" s="15"/>
      <c r="V494" s="15"/>
      <c r="W494" s="15"/>
      <c r="X494" s="15"/>
      <c r="Y494" s="15"/>
      <c r="Z494" s="15"/>
      <c r="AA494" s="15"/>
    </row>
    <row r="495" spans="2:27" s="13" customFormat="1">
      <c r="B495" s="12"/>
      <c r="L495" s="14"/>
      <c r="M495" s="14"/>
      <c r="N495" s="14"/>
      <c r="O495" s="15"/>
      <c r="P495" s="15"/>
      <c r="Q495" s="15"/>
      <c r="R495" s="15"/>
      <c r="S495" s="15"/>
      <c r="T495" s="15"/>
      <c r="U495" s="15"/>
      <c r="V495" s="15"/>
      <c r="W495" s="15"/>
      <c r="X495" s="15"/>
      <c r="Y495" s="15"/>
      <c r="Z495" s="15"/>
      <c r="AA495" s="15"/>
    </row>
    <row r="496" spans="2:27" s="13" customFormat="1">
      <c r="B496" s="12"/>
      <c r="L496" s="14"/>
      <c r="M496" s="14"/>
      <c r="N496" s="14"/>
      <c r="O496" s="15"/>
      <c r="P496" s="15"/>
      <c r="Q496" s="15"/>
      <c r="R496" s="15"/>
      <c r="S496" s="15"/>
      <c r="T496" s="15"/>
      <c r="U496" s="15"/>
      <c r="V496" s="15"/>
      <c r="W496" s="15"/>
      <c r="X496" s="15"/>
      <c r="Y496" s="15"/>
      <c r="Z496" s="15"/>
      <c r="AA496" s="15"/>
    </row>
    <row r="497" spans="2:27" s="13" customFormat="1">
      <c r="B497" s="12"/>
      <c r="L497" s="14"/>
      <c r="M497" s="14"/>
      <c r="N497" s="14"/>
      <c r="O497" s="15"/>
      <c r="P497" s="15"/>
      <c r="Q497" s="15"/>
      <c r="R497" s="15"/>
      <c r="S497" s="15"/>
      <c r="T497" s="15"/>
      <c r="U497" s="15"/>
      <c r="V497" s="15"/>
      <c r="W497" s="15"/>
      <c r="X497" s="15"/>
      <c r="Y497" s="15"/>
      <c r="Z497" s="15"/>
      <c r="AA497" s="15"/>
    </row>
    <row r="498" spans="2:27" s="13" customFormat="1">
      <c r="B498" s="12"/>
      <c r="L498" s="14"/>
      <c r="M498" s="14"/>
      <c r="N498" s="14"/>
      <c r="O498" s="15"/>
      <c r="P498" s="15"/>
      <c r="Q498" s="15"/>
      <c r="R498" s="15"/>
      <c r="S498" s="15"/>
      <c r="T498" s="15"/>
      <c r="U498" s="15"/>
      <c r="V498" s="15"/>
      <c r="W498" s="15"/>
      <c r="X498" s="15"/>
      <c r="Y498" s="15"/>
      <c r="Z498" s="15"/>
      <c r="AA498" s="15"/>
    </row>
    <row r="499" spans="2:27" s="13" customFormat="1">
      <c r="B499" s="12"/>
      <c r="L499" s="14"/>
      <c r="M499" s="14"/>
      <c r="N499" s="14"/>
      <c r="O499" s="15"/>
      <c r="P499" s="15"/>
      <c r="Q499" s="15"/>
      <c r="R499" s="15"/>
      <c r="S499" s="15"/>
      <c r="T499" s="15"/>
      <c r="U499" s="15"/>
      <c r="V499" s="15"/>
      <c r="W499" s="15"/>
      <c r="X499" s="15"/>
      <c r="Y499" s="15"/>
      <c r="Z499" s="15"/>
      <c r="AA499" s="15"/>
    </row>
    <row r="500" spans="2:27" s="13" customFormat="1">
      <c r="B500" s="12"/>
      <c r="L500" s="14"/>
      <c r="M500" s="14"/>
      <c r="N500" s="14"/>
      <c r="O500" s="15"/>
      <c r="P500" s="15"/>
      <c r="Q500" s="15"/>
      <c r="R500" s="15"/>
      <c r="S500" s="15"/>
      <c r="T500" s="15"/>
      <c r="U500" s="15"/>
      <c r="V500" s="15"/>
      <c r="W500" s="15"/>
      <c r="X500" s="15"/>
      <c r="Y500" s="15"/>
      <c r="Z500" s="15"/>
      <c r="AA500" s="15"/>
    </row>
    <row r="501" spans="2:27" s="13" customFormat="1">
      <c r="B501" s="12"/>
      <c r="L501" s="14"/>
      <c r="M501" s="14"/>
      <c r="N501" s="14"/>
      <c r="O501" s="15"/>
      <c r="P501" s="15"/>
      <c r="Q501" s="15"/>
      <c r="R501" s="15"/>
      <c r="S501" s="15"/>
      <c r="T501" s="15"/>
      <c r="U501" s="15"/>
      <c r="V501" s="15"/>
      <c r="W501" s="15"/>
      <c r="X501" s="15"/>
      <c r="Y501" s="15"/>
      <c r="Z501" s="15"/>
      <c r="AA501" s="15"/>
    </row>
    <row r="502" spans="2:27" s="13" customFormat="1">
      <c r="B502" s="12"/>
      <c r="L502" s="14"/>
      <c r="M502" s="14"/>
      <c r="N502" s="14"/>
      <c r="O502" s="15"/>
      <c r="P502" s="15"/>
      <c r="Q502" s="15"/>
      <c r="R502" s="15"/>
      <c r="S502" s="15"/>
      <c r="T502" s="15"/>
      <c r="U502" s="15"/>
      <c r="V502" s="15"/>
      <c r="W502" s="15"/>
      <c r="X502" s="15"/>
      <c r="Y502" s="15"/>
      <c r="Z502" s="15"/>
      <c r="AA502" s="15"/>
    </row>
    <row r="503" spans="2:27" s="13" customFormat="1">
      <c r="B503" s="12"/>
      <c r="L503" s="14"/>
      <c r="M503" s="14"/>
      <c r="N503" s="14"/>
      <c r="O503" s="15"/>
      <c r="P503" s="15"/>
      <c r="Q503" s="15"/>
      <c r="R503" s="15"/>
      <c r="S503" s="15"/>
      <c r="T503" s="15"/>
      <c r="U503" s="15"/>
      <c r="V503" s="15"/>
      <c r="W503" s="15"/>
      <c r="X503" s="15"/>
      <c r="Y503" s="15"/>
      <c r="Z503" s="15"/>
      <c r="AA503" s="15"/>
    </row>
    <row r="504" spans="2:27" s="13" customFormat="1">
      <c r="B504" s="12"/>
      <c r="L504" s="14"/>
      <c r="M504" s="14"/>
      <c r="N504" s="14"/>
      <c r="O504" s="15"/>
      <c r="P504" s="15"/>
      <c r="Q504" s="15"/>
      <c r="R504" s="15"/>
      <c r="S504" s="15"/>
      <c r="T504" s="15"/>
      <c r="U504" s="15"/>
      <c r="V504" s="15"/>
      <c r="W504" s="15"/>
      <c r="X504" s="15"/>
      <c r="Y504" s="15"/>
      <c r="Z504" s="15"/>
      <c r="AA504" s="15"/>
    </row>
    <row r="505" spans="2:27" s="13" customFormat="1">
      <c r="B505" s="12"/>
      <c r="L505" s="14"/>
      <c r="M505" s="14"/>
      <c r="N505" s="14"/>
      <c r="O505" s="15"/>
      <c r="P505" s="15"/>
      <c r="Q505" s="15"/>
      <c r="R505" s="15"/>
      <c r="S505" s="15"/>
      <c r="T505" s="15"/>
      <c r="U505" s="15"/>
      <c r="V505" s="15"/>
      <c r="W505" s="15"/>
      <c r="X505" s="15"/>
      <c r="Y505" s="15"/>
      <c r="Z505" s="15"/>
      <c r="AA505" s="15"/>
    </row>
    <row r="506" spans="2:27" s="13" customFormat="1">
      <c r="B506" s="12"/>
      <c r="L506" s="14"/>
      <c r="M506" s="14"/>
      <c r="N506" s="14"/>
      <c r="O506" s="15"/>
      <c r="P506" s="15"/>
      <c r="Q506" s="15"/>
      <c r="R506" s="15"/>
      <c r="S506" s="15"/>
      <c r="T506" s="15"/>
      <c r="U506" s="15"/>
      <c r="V506" s="15"/>
      <c r="W506" s="15"/>
      <c r="X506" s="15"/>
      <c r="Y506" s="15"/>
      <c r="Z506" s="15"/>
      <c r="AA506" s="15"/>
    </row>
    <row r="507" spans="2:27" s="13" customFormat="1">
      <c r="B507" s="12"/>
      <c r="L507" s="14"/>
      <c r="M507" s="14"/>
      <c r="N507" s="14"/>
      <c r="O507" s="15"/>
      <c r="P507" s="15"/>
      <c r="Q507" s="15"/>
      <c r="R507" s="15"/>
      <c r="S507" s="15"/>
      <c r="T507" s="15"/>
      <c r="U507" s="15"/>
      <c r="V507" s="15"/>
      <c r="W507" s="15"/>
      <c r="X507" s="15"/>
      <c r="Y507" s="15"/>
      <c r="Z507" s="15"/>
      <c r="AA507" s="15"/>
    </row>
    <row r="508" spans="2:27" s="13" customFormat="1">
      <c r="B508" s="12"/>
      <c r="L508" s="14"/>
      <c r="M508" s="14"/>
      <c r="N508" s="14"/>
      <c r="O508" s="15"/>
      <c r="P508" s="15"/>
      <c r="Q508" s="15"/>
      <c r="R508" s="15"/>
      <c r="S508" s="15"/>
      <c r="T508" s="15"/>
      <c r="U508" s="15"/>
      <c r="V508" s="15"/>
      <c r="W508" s="15"/>
      <c r="X508" s="15"/>
      <c r="Y508" s="15"/>
      <c r="Z508" s="15"/>
      <c r="AA508" s="15"/>
    </row>
    <row r="509" spans="2:27" s="13" customFormat="1">
      <c r="B509" s="12"/>
      <c r="L509" s="14"/>
      <c r="M509" s="14"/>
      <c r="N509" s="14"/>
      <c r="O509" s="15"/>
      <c r="P509" s="15"/>
      <c r="Q509" s="15"/>
      <c r="R509" s="15"/>
      <c r="S509" s="15"/>
      <c r="T509" s="15"/>
      <c r="U509" s="15"/>
      <c r="V509" s="15"/>
      <c r="W509" s="15"/>
      <c r="X509" s="15"/>
      <c r="Y509" s="15"/>
      <c r="Z509" s="15"/>
      <c r="AA509" s="15"/>
    </row>
    <row r="510" spans="2:27" s="13" customFormat="1">
      <c r="B510" s="12"/>
      <c r="L510" s="14"/>
      <c r="M510" s="14"/>
      <c r="N510" s="14"/>
      <c r="O510" s="15"/>
      <c r="P510" s="15"/>
      <c r="Q510" s="15"/>
      <c r="R510" s="15"/>
      <c r="S510" s="15"/>
      <c r="T510" s="15"/>
      <c r="U510" s="15"/>
      <c r="V510" s="15"/>
      <c r="W510" s="15"/>
      <c r="X510" s="15"/>
      <c r="Y510" s="15"/>
      <c r="Z510" s="15"/>
      <c r="AA510" s="15"/>
    </row>
    <row r="511" spans="2:27" s="13" customFormat="1">
      <c r="B511" s="12"/>
      <c r="L511" s="14"/>
      <c r="M511" s="14"/>
      <c r="N511" s="14"/>
      <c r="O511" s="15"/>
      <c r="P511" s="15"/>
      <c r="Q511" s="15"/>
      <c r="R511" s="15"/>
      <c r="S511" s="15"/>
      <c r="T511" s="15"/>
      <c r="U511" s="15"/>
      <c r="V511" s="15"/>
      <c r="W511" s="15"/>
      <c r="X511" s="15"/>
      <c r="Y511" s="15"/>
      <c r="Z511" s="15"/>
      <c r="AA511" s="15"/>
    </row>
    <row r="512" spans="2:27" s="13" customFormat="1">
      <c r="B512" s="12"/>
      <c r="L512" s="14"/>
      <c r="M512" s="14"/>
      <c r="N512" s="14"/>
      <c r="O512" s="15"/>
      <c r="P512" s="15"/>
      <c r="Q512" s="15"/>
      <c r="R512" s="15"/>
      <c r="S512" s="15"/>
      <c r="T512" s="15"/>
      <c r="U512" s="15"/>
      <c r="V512" s="15"/>
      <c r="W512" s="15"/>
      <c r="X512" s="15"/>
      <c r="Y512" s="15"/>
      <c r="Z512" s="15"/>
      <c r="AA512" s="15"/>
    </row>
    <row r="513" spans="2:27" s="13" customFormat="1">
      <c r="B513" s="12"/>
      <c r="L513" s="14"/>
      <c r="M513" s="14"/>
      <c r="N513" s="14"/>
      <c r="O513" s="15"/>
      <c r="P513" s="15"/>
      <c r="Q513" s="15"/>
      <c r="R513" s="15"/>
      <c r="S513" s="15"/>
      <c r="T513" s="15"/>
      <c r="U513" s="15"/>
      <c r="V513" s="15"/>
      <c r="W513" s="15"/>
      <c r="X513" s="15"/>
      <c r="Y513" s="15"/>
      <c r="Z513" s="15"/>
      <c r="AA513" s="15"/>
    </row>
    <row r="514" spans="2:27" s="13" customFormat="1">
      <c r="B514" s="12"/>
      <c r="L514" s="14"/>
      <c r="M514" s="14"/>
      <c r="N514" s="14"/>
      <c r="O514" s="15"/>
      <c r="P514" s="15"/>
      <c r="Q514" s="15"/>
      <c r="R514" s="15"/>
      <c r="S514" s="15"/>
      <c r="T514" s="15"/>
      <c r="U514" s="15"/>
      <c r="V514" s="15"/>
      <c r="W514" s="15"/>
      <c r="X514" s="15"/>
      <c r="Y514" s="15"/>
      <c r="Z514" s="15"/>
      <c r="AA514" s="15"/>
    </row>
    <row r="515" spans="2:27" s="13" customFormat="1">
      <c r="B515" s="12"/>
      <c r="L515" s="14"/>
      <c r="M515" s="14"/>
      <c r="N515" s="14"/>
      <c r="O515" s="15"/>
      <c r="P515" s="15"/>
      <c r="Q515" s="15"/>
      <c r="R515" s="15"/>
      <c r="S515" s="15"/>
      <c r="T515" s="15"/>
      <c r="U515" s="15"/>
      <c r="V515" s="15"/>
      <c r="W515" s="15"/>
      <c r="X515" s="15"/>
      <c r="Y515" s="15"/>
      <c r="Z515" s="15"/>
      <c r="AA515" s="15"/>
    </row>
    <row r="516" spans="2:27" s="13" customFormat="1">
      <c r="B516" s="12"/>
      <c r="L516" s="14"/>
      <c r="M516" s="14"/>
      <c r="N516" s="14"/>
      <c r="O516" s="15"/>
      <c r="P516" s="15"/>
      <c r="Q516" s="15"/>
      <c r="R516" s="15"/>
      <c r="S516" s="15"/>
      <c r="T516" s="15"/>
      <c r="U516" s="15"/>
      <c r="V516" s="15"/>
      <c r="W516" s="15"/>
      <c r="X516" s="15"/>
      <c r="Y516" s="15"/>
      <c r="Z516" s="15"/>
      <c r="AA516" s="15"/>
    </row>
    <row r="517" spans="2:27" s="13" customFormat="1">
      <c r="B517" s="12"/>
      <c r="L517" s="14"/>
      <c r="M517" s="14"/>
      <c r="N517" s="14"/>
      <c r="O517" s="15"/>
      <c r="P517" s="15"/>
      <c r="Q517" s="15"/>
      <c r="R517" s="15"/>
      <c r="S517" s="15"/>
      <c r="T517" s="15"/>
      <c r="U517" s="15"/>
      <c r="V517" s="15"/>
      <c r="W517" s="15"/>
      <c r="X517" s="15"/>
      <c r="Y517" s="15"/>
      <c r="Z517" s="15"/>
      <c r="AA517" s="15"/>
    </row>
    <row r="518" spans="2:27" s="13" customFormat="1">
      <c r="B518" s="12"/>
      <c r="L518" s="14"/>
      <c r="M518" s="14"/>
      <c r="N518" s="14"/>
      <c r="O518" s="15"/>
      <c r="P518" s="15"/>
      <c r="Q518" s="15"/>
      <c r="R518" s="15"/>
      <c r="S518" s="15"/>
      <c r="T518" s="15"/>
      <c r="U518" s="15"/>
      <c r="V518" s="15"/>
      <c r="W518" s="15"/>
      <c r="X518" s="15"/>
      <c r="Y518" s="15"/>
      <c r="Z518" s="15"/>
      <c r="AA518" s="15"/>
    </row>
    <row r="519" spans="2:27" s="13" customFormat="1">
      <c r="B519" s="12"/>
      <c r="L519" s="14"/>
      <c r="M519" s="14"/>
      <c r="N519" s="14"/>
      <c r="O519" s="15"/>
      <c r="P519" s="15"/>
      <c r="Q519" s="15"/>
      <c r="R519" s="15"/>
      <c r="S519" s="15"/>
      <c r="T519" s="15"/>
      <c r="U519" s="15"/>
      <c r="V519" s="15"/>
      <c r="W519" s="15"/>
      <c r="X519" s="15"/>
      <c r="Y519" s="15"/>
      <c r="Z519" s="15"/>
      <c r="AA519" s="15"/>
    </row>
    <row r="520" spans="2:27" s="13" customFormat="1">
      <c r="B520" s="12"/>
      <c r="L520" s="14"/>
      <c r="M520" s="14"/>
      <c r="N520" s="14"/>
      <c r="O520" s="15"/>
      <c r="P520" s="15"/>
      <c r="Q520" s="15"/>
      <c r="R520" s="15"/>
      <c r="S520" s="15"/>
      <c r="T520" s="15"/>
      <c r="U520" s="15"/>
      <c r="V520" s="15"/>
      <c r="W520" s="15"/>
      <c r="X520" s="15"/>
      <c r="Y520" s="15"/>
      <c r="Z520" s="15"/>
      <c r="AA520" s="15"/>
    </row>
    <row r="521" spans="2:27" s="13" customFormat="1">
      <c r="B521" s="12"/>
      <c r="L521" s="14"/>
      <c r="M521" s="14"/>
      <c r="N521" s="14"/>
      <c r="O521" s="15"/>
      <c r="P521" s="15"/>
      <c r="Q521" s="15"/>
      <c r="R521" s="15"/>
      <c r="S521" s="15"/>
      <c r="T521" s="15"/>
      <c r="U521" s="15"/>
      <c r="V521" s="15"/>
      <c r="W521" s="15"/>
      <c r="X521" s="15"/>
      <c r="Y521" s="15"/>
      <c r="Z521" s="15"/>
      <c r="AA521" s="15"/>
    </row>
    <row r="522" spans="2:27" s="13" customFormat="1">
      <c r="B522" s="12"/>
      <c r="L522" s="14"/>
      <c r="M522" s="14"/>
      <c r="N522" s="14"/>
      <c r="O522" s="15"/>
      <c r="P522" s="15"/>
      <c r="Q522" s="15"/>
      <c r="R522" s="15"/>
      <c r="S522" s="15"/>
      <c r="T522" s="15"/>
      <c r="U522" s="15"/>
      <c r="V522" s="15"/>
      <c r="W522" s="15"/>
      <c r="X522" s="15"/>
      <c r="Y522" s="15"/>
      <c r="Z522" s="15"/>
      <c r="AA522" s="15"/>
    </row>
    <row r="523" spans="2:27" s="13" customFormat="1">
      <c r="B523" s="12"/>
      <c r="L523" s="14"/>
      <c r="M523" s="14"/>
      <c r="N523" s="14"/>
      <c r="O523" s="15"/>
      <c r="P523" s="15"/>
      <c r="Q523" s="15"/>
      <c r="R523" s="15"/>
      <c r="S523" s="15"/>
      <c r="T523" s="15"/>
      <c r="U523" s="15"/>
      <c r="V523" s="15"/>
      <c r="W523" s="15"/>
      <c r="X523" s="15"/>
      <c r="Y523" s="15"/>
      <c r="Z523" s="15"/>
      <c r="AA523" s="15"/>
    </row>
    <row r="524" spans="2:27" s="13" customFormat="1">
      <c r="B524" s="12"/>
      <c r="L524" s="14"/>
      <c r="M524" s="14"/>
      <c r="N524" s="14"/>
      <c r="O524" s="15"/>
      <c r="P524" s="15"/>
      <c r="Q524" s="15"/>
      <c r="R524" s="15"/>
      <c r="S524" s="15"/>
      <c r="T524" s="15"/>
      <c r="U524" s="15"/>
      <c r="V524" s="15"/>
      <c r="W524" s="15"/>
      <c r="X524" s="15"/>
      <c r="Y524" s="15"/>
      <c r="Z524" s="15"/>
      <c r="AA524" s="15"/>
    </row>
    <row r="525" spans="2:27" s="13" customFormat="1">
      <c r="B525" s="12"/>
      <c r="L525" s="14"/>
      <c r="M525" s="14"/>
      <c r="N525" s="14"/>
      <c r="O525" s="15"/>
      <c r="P525" s="15"/>
      <c r="Q525" s="15"/>
      <c r="R525" s="15"/>
      <c r="S525" s="15"/>
      <c r="T525" s="15"/>
      <c r="U525" s="15"/>
      <c r="V525" s="15"/>
      <c r="W525" s="15"/>
      <c r="X525" s="15"/>
      <c r="Y525" s="15"/>
      <c r="Z525" s="15"/>
      <c r="AA525" s="15"/>
    </row>
    <row r="526" spans="2:27" s="13" customFormat="1">
      <c r="B526" s="12"/>
      <c r="L526" s="14"/>
      <c r="M526" s="14"/>
      <c r="N526" s="14"/>
      <c r="O526" s="15"/>
      <c r="P526" s="15"/>
      <c r="Q526" s="15"/>
      <c r="R526" s="15"/>
      <c r="S526" s="15"/>
      <c r="T526" s="15"/>
      <c r="U526" s="15"/>
      <c r="V526" s="15"/>
      <c r="W526" s="15"/>
      <c r="X526" s="15"/>
      <c r="Y526" s="15"/>
      <c r="Z526" s="15"/>
      <c r="AA526" s="15"/>
    </row>
    <row r="527" spans="2:27" s="13" customFormat="1">
      <c r="B527" s="12"/>
      <c r="L527" s="14"/>
      <c r="M527" s="14"/>
      <c r="N527" s="14"/>
      <c r="O527" s="15"/>
      <c r="P527" s="15"/>
      <c r="Q527" s="15"/>
      <c r="R527" s="15"/>
      <c r="S527" s="15"/>
      <c r="T527" s="15"/>
      <c r="U527" s="15"/>
      <c r="V527" s="15"/>
      <c r="W527" s="15"/>
      <c r="X527" s="15"/>
      <c r="Y527" s="15"/>
      <c r="Z527" s="15"/>
      <c r="AA527" s="15"/>
    </row>
    <row r="528" spans="2:27" s="13" customFormat="1">
      <c r="B528" s="12"/>
      <c r="L528" s="14"/>
      <c r="M528" s="14"/>
      <c r="N528" s="14"/>
      <c r="O528" s="15"/>
      <c r="P528" s="15"/>
      <c r="Q528" s="15"/>
      <c r="R528" s="15"/>
      <c r="S528" s="15"/>
      <c r="T528" s="15"/>
      <c r="U528" s="15"/>
      <c r="V528" s="15"/>
      <c r="W528" s="15"/>
      <c r="X528" s="15"/>
      <c r="Y528" s="15"/>
      <c r="Z528" s="15"/>
      <c r="AA528" s="15"/>
    </row>
    <row r="529" spans="2:27" s="13" customFormat="1">
      <c r="B529" s="12"/>
      <c r="L529" s="14"/>
      <c r="M529" s="14"/>
      <c r="N529" s="14"/>
      <c r="O529" s="15"/>
      <c r="P529" s="15"/>
      <c r="Q529" s="15"/>
      <c r="R529" s="15"/>
      <c r="S529" s="15"/>
      <c r="T529" s="15"/>
      <c r="U529" s="15"/>
      <c r="V529" s="15"/>
      <c r="W529" s="15"/>
      <c r="X529" s="15"/>
      <c r="Y529" s="15"/>
      <c r="Z529" s="15"/>
      <c r="AA529" s="15"/>
    </row>
    <row r="530" spans="2:27" s="13" customFormat="1">
      <c r="B530" s="12"/>
      <c r="L530" s="14"/>
      <c r="M530" s="14"/>
      <c r="N530" s="14"/>
      <c r="O530" s="15"/>
      <c r="P530" s="15"/>
      <c r="Q530" s="15"/>
      <c r="R530" s="15"/>
      <c r="S530" s="15"/>
      <c r="T530" s="15"/>
      <c r="U530" s="15"/>
      <c r="V530" s="15"/>
      <c r="W530" s="15"/>
      <c r="X530" s="15"/>
      <c r="Y530" s="15"/>
      <c r="Z530" s="15"/>
      <c r="AA530" s="15"/>
    </row>
    <row r="531" spans="2:27" s="13" customFormat="1">
      <c r="B531" s="12"/>
      <c r="L531" s="14"/>
      <c r="M531" s="14"/>
      <c r="N531" s="14"/>
      <c r="O531" s="15"/>
      <c r="P531" s="15"/>
      <c r="Q531" s="15"/>
      <c r="R531" s="15"/>
      <c r="S531" s="15"/>
      <c r="T531" s="15"/>
      <c r="U531" s="15"/>
      <c r="V531" s="15"/>
      <c r="W531" s="15"/>
      <c r="X531" s="15"/>
      <c r="Y531" s="15"/>
      <c r="Z531" s="15"/>
      <c r="AA531" s="15"/>
    </row>
    <row r="532" spans="2:27" s="13" customFormat="1">
      <c r="B532" s="12"/>
      <c r="L532" s="14"/>
      <c r="M532" s="14"/>
      <c r="N532" s="14"/>
      <c r="O532" s="15"/>
      <c r="P532" s="15"/>
      <c r="Q532" s="15"/>
      <c r="R532" s="15"/>
      <c r="S532" s="15"/>
      <c r="T532" s="15"/>
      <c r="U532" s="15"/>
      <c r="V532" s="15"/>
      <c r="W532" s="15"/>
      <c r="X532" s="15"/>
      <c r="Y532" s="15"/>
      <c r="Z532" s="15"/>
      <c r="AA532" s="15"/>
    </row>
    <row r="533" spans="2:27" s="13" customFormat="1">
      <c r="B533" s="12"/>
      <c r="L533" s="14"/>
      <c r="M533" s="14"/>
      <c r="N533" s="14"/>
      <c r="O533" s="15"/>
      <c r="P533" s="15"/>
      <c r="Q533" s="15"/>
      <c r="R533" s="15"/>
      <c r="S533" s="15"/>
      <c r="T533" s="15"/>
      <c r="U533" s="15"/>
      <c r="V533" s="15"/>
      <c r="W533" s="15"/>
      <c r="X533" s="15"/>
      <c r="Y533" s="15"/>
      <c r="Z533" s="15"/>
      <c r="AA533" s="15"/>
    </row>
    <row r="534" spans="2:27" s="13" customFormat="1">
      <c r="B534" s="12"/>
      <c r="L534" s="14"/>
      <c r="M534" s="14"/>
      <c r="N534" s="14"/>
      <c r="O534" s="15"/>
      <c r="P534" s="15"/>
      <c r="Q534" s="15"/>
      <c r="R534" s="15"/>
      <c r="S534" s="15"/>
      <c r="T534" s="15"/>
      <c r="U534" s="15"/>
      <c r="V534" s="15"/>
      <c r="W534" s="15"/>
      <c r="X534" s="15"/>
      <c r="Y534" s="15"/>
      <c r="Z534" s="15"/>
      <c r="AA534" s="15"/>
    </row>
    <row r="535" spans="2:27" s="13" customFormat="1">
      <c r="B535" s="12"/>
      <c r="L535" s="14"/>
      <c r="M535" s="14"/>
      <c r="N535" s="14"/>
      <c r="O535" s="15"/>
      <c r="P535" s="15"/>
      <c r="Q535" s="15"/>
      <c r="R535" s="15"/>
      <c r="S535" s="15"/>
      <c r="T535" s="15"/>
      <c r="U535" s="15"/>
      <c r="V535" s="15"/>
      <c r="W535" s="15"/>
      <c r="X535" s="15"/>
      <c r="Y535" s="15"/>
      <c r="Z535" s="15"/>
      <c r="AA535" s="15"/>
    </row>
    <row r="536" spans="2:27" s="13" customFormat="1">
      <c r="B536" s="12"/>
      <c r="L536" s="14"/>
      <c r="M536" s="14"/>
      <c r="N536" s="14"/>
      <c r="O536" s="15"/>
      <c r="P536" s="15"/>
      <c r="Q536" s="15"/>
      <c r="R536" s="15"/>
      <c r="S536" s="15"/>
      <c r="T536" s="15"/>
      <c r="U536" s="15"/>
      <c r="V536" s="15"/>
      <c r="W536" s="15"/>
      <c r="X536" s="15"/>
      <c r="Y536" s="15"/>
      <c r="Z536" s="15"/>
      <c r="AA536" s="15"/>
    </row>
    <row r="537" spans="2:27" s="13" customFormat="1">
      <c r="B537" s="12"/>
      <c r="L537" s="14"/>
      <c r="M537" s="14"/>
      <c r="N537" s="14"/>
      <c r="O537" s="15"/>
      <c r="P537" s="15"/>
      <c r="Q537" s="15"/>
      <c r="R537" s="15"/>
      <c r="S537" s="15"/>
      <c r="T537" s="15"/>
      <c r="U537" s="15"/>
      <c r="V537" s="15"/>
      <c r="W537" s="15"/>
      <c r="X537" s="15"/>
      <c r="Y537" s="15"/>
      <c r="Z537" s="15"/>
      <c r="AA537" s="15"/>
    </row>
    <row r="538" spans="2:27" s="13" customFormat="1">
      <c r="B538" s="12"/>
      <c r="L538" s="14"/>
      <c r="M538" s="14"/>
      <c r="N538" s="14"/>
      <c r="O538" s="15"/>
      <c r="P538" s="15"/>
      <c r="Q538" s="15"/>
      <c r="R538" s="15"/>
      <c r="S538" s="15"/>
      <c r="T538" s="15"/>
      <c r="U538" s="15"/>
      <c r="V538" s="15"/>
      <c r="W538" s="15"/>
      <c r="X538" s="15"/>
      <c r="Y538" s="15"/>
      <c r="Z538" s="15"/>
      <c r="AA538" s="15"/>
    </row>
    <row r="539" spans="2:27" s="13" customFormat="1">
      <c r="B539" s="12"/>
      <c r="L539" s="14"/>
      <c r="M539" s="14"/>
      <c r="N539" s="14"/>
      <c r="O539" s="15"/>
      <c r="P539" s="15"/>
      <c r="Q539" s="15"/>
      <c r="R539" s="15"/>
      <c r="S539" s="15"/>
      <c r="T539" s="15"/>
      <c r="U539" s="15"/>
      <c r="V539" s="15"/>
      <c r="W539" s="15"/>
      <c r="X539" s="15"/>
      <c r="Y539" s="15"/>
      <c r="Z539" s="15"/>
      <c r="AA539" s="15"/>
    </row>
    <row r="540" spans="2:27" s="13" customFormat="1">
      <c r="B540" s="12"/>
      <c r="L540" s="14"/>
      <c r="M540" s="14"/>
      <c r="N540" s="14"/>
      <c r="O540" s="15"/>
      <c r="P540" s="15"/>
      <c r="Q540" s="15"/>
      <c r="R540" s="15"/>
      <c r="S540" s="15"/>
      <c r="T540" s="15"/>
      <c r="U540" s="15"/>
      <c r="V540" s="15"/>
      <c r="W540" s="15"/>
      <c r="X540" s="15"/>
      <c r="Y540" s="15"/>
      <c r="Z540" s="15"/>
      <c r="AA540" s="15"/>
    </row>
    <row r="541" spans="2:27" s="13" customFormat="1">
      <c r="B541" s="12"/>
      <c r="L541" s="14"/>
      <c r="M541" s="14"/>
      <c r="N541" s="14"/>
      <c r="O541" s="15"/>
      <c r="P541" s="15"/>
      <c r="Q541" s="15"/>
      <c r="R541" s="15"/>
      <c r="S541" s="15"/>
      <c r="T541" s="15"/>
      <c r="U541" s="15"/>
      <c r="V541" s="15"/>
      <c r="W541" s="15"/>
      <c r="X541" s="15"/>
      <c r="Y541" s="15"/>
      <c r="Z541" s="15"/>
      <c r="AA541" s="15"/>
    </row>
    <row r="542" spans="2:27" s="13" customFormat="1">
      <c r="B542" s="12"/>
      <c r="L542" s="14"/>
      <c r="M542" s="14"/>
      <c r="N542" s="14"/>
      <c r="O542" s="15"/>
      <c r="P542" s="15"/>
      <c r="Q542" s="15"/>
      <c r="R542" s="15"/>
      <c r="S542" s="15"/>
      <c r="T542" s="15"/>
      <c r="U542" s="15"/>
      <c r="V542" s="15"/>
      <c r="W542" s="15"/>
      <c r="X542" s="15"/>
      <c r="Y542" s="15"/>
      <c r="Z542" s="15"/>
      <c r="AA542" s="15"/>
    </row>
    <row r="543" spans="2:27" s="13" customFormat="1">
      <c r="B543" s="12"/>
      <c r="L543" s="14"/>
      <c r="M543" s="14"/>
      <c r="N543" s="14"/>
      <c r="O543" s="15"/>
      <c r="P543" s="15"/>
      <c r="Q543" s="15"/>
      <c r="R543" s="15"/>
      <c r="S543" s="15"/>
      <c r="T543" s="15"/>
      <c r="U543" s="15"/>
      <c r="V543" s="15"/>
      <c r="W543" s="15"/>
      <c r="X543" s="15"/>
      <c r="Y543" s="15"/>
      <c r="Z543" s="15"/>
      <c r="AA543" s="15"/>
    </row>
    <row r="544" spans="2:27" s="13" customFormat="1">
      <c r="B544" s="12"/>
      <c r="L544" s="14"/>
      <c r="M544" s="14"/>
      <c r="N544" s="14"/>
      <c r="O544" s="15"/>
      <c r="P544" s="15"/>
      <c r="Q544" s="15"/>
      <c r="R544" s="15"/>
      <c r="S544" s="15"/>
      <c r="T544" s="15"/>
      <c r="U544" s="15"/>
      <c r="V544" s="15"/>
      <c r="W544" s="15"/>
      <c r="X544" s="15"/>
      <c r="Y544" s="15"/>
      <c r="Z544" s="15"/>
      <c r="AA544" s="15"/>
    </row>
    <row r="545" spans="2:27" s="13" customFormat="1">
      <c r="B545" s="12"/>
      <c r="L545" s="14"/>
      <c r="M545" s="14"/>
      <c r="N545" s="14"/>
      <c r="O545" s="15"/>
      <c r="P545" s="15"/>
      <c r="Q545" s="15"/>
      <c r="R545" s="15"/>
      <c r="S545" s="15"/>
      <c r="T545" s="15"/>
      <c r="U545" s="15"/>
      <c r="V545" s="15"/>
      <c r="W545" s="15"/>
      <c r="X545" s="15"/>
      <c r="Y545" s="15"/>
      <c r="Z545" s="15"/>
      <c r="AA545" s="15"/>
    </row>
    <row r="546" spans="2:27" s="13" customFormat="1">
      <c r="B546" s="12"/>
      <c r="L546" s="14"/>
      <c r="M546" s="14"/>
      <c r="N546" s="14"/>
      <c r="O546" s="15"/>
      <c r="P546" s="15"/>
      <c r="Q546" s="15"/>
      <c r="R546" s="15"/>
      <c r="S546" s="15"/>
      <c r="T546" s="15"/>
      <c r="U546" s="15"/>
      <c r="V546" s="15"/>
      <c r="W546" s="15"/>
      <c r="X546" s="15"/>
      <c r="Y546" s="15"/>
      <c r="Z546" s="15"/>
      <c r="AA546" s="15"/>
    </row>
    <row r="547" spans="2:27" s="13" customFormat="1">
      <c r="B547" s="12"/>
      <c r="L547" s="14"/>
      <c r="M547" s="14"/>
      <c r="N547" s="14"/>
      <c r="O547" s="15"/>
      <c r="P547" s="15"/>
      <c r="Q547" s="15"/>
      <c r="R547" s="15"/>
      <c r="S547" s="15"/>
      <c r="T547" s="15"/>
      <c r="U547" s="15"/>
      <c r="V547" s="15"/>
      <c r="W547" s="15"/>
      <c r="X547" s="15"/>
      <c r="Y547" s="15"/>
      <c r="Z547" s="15"/>
      <c r="AA547" s="15"/>
    </row>
    <row r="548" spans="2:27" s="13" customFormat="1">
      <c r="B548" s="12"/>
      <c r="L548" s="14"/>
      <c r="M548" s="14"/>
      <c r="N548" s="14"/>
      <c r="O548" s="15"/>
      <c r="P548" s="15"/>
      <c r="Q548" s="15"/>
      <c r="R548" s="15"/>
      <c r="S548" s="15"/>
      <c r="T548" s="15"/>
      <c r="U548" s="15"/>
      <c r="V548" s="15"/>
      <c r="W548" s="15"/>
      <c r="X548" s="15"/>
      <c r="Y548" s="15"/>
      <c r="Z548" s="15"/>
      <c r="AA548" s="15"/>
    </row>
    <row r="549" spans="2:27" s="13" customFormat="1">
      <c r="B549" s="12"/>
      <c r="L549" s="14"/>
      <c r="M549" s="14"/>
      <c r="N549" s="14"/>
      <c r="O549" s="15"/>
      <c r="P549" s="15"/>
      <c r="Q549" s="15"/>
      <c r="R549" s="15"/>
      <c r="S549" s="15"/>
      <c r="T549" s="15"/>
      <c r="U549" s="15"/>
      <c r="V549" s="15"/>
      <c r="W549" s="15"/>
      <c r="X549" s="15"/>
      <c r="Y549" s="15"/>
      <c r="Z549" s="15"/>
      <c r="AA549" s="15"/>
    </row>
    <row r="550" spans="2:27" s="13" customFormat="1">
      <c r="B550" s="12"/>
      <c r="L550" s="14"/>
      <c r="M550" s="14"/>
      <c r="N550" s="14"/>
      <c r="O550" s="15"/>
      <c r="P550" s="15"/>
      <c r="Q550" s="15"/>
      <c r="R550" s="15"/>
      <c r="S550" s="15"/>
      <c r="T550" s="15"/>
      <c r="U550" s="15"/>
      <c r="V550" s="15"/>
      <c r="W550" s="15"/>
      <c r="X550" s="15"/>
      <c r="Y550" s="15"/>
      <c r="Z550" s="15"/>
      <c r="AA550" s="15"/>
    </row>
    <row r="551" spans="2:27" s="13" customFormat="1">
      <c r="B551" s="12"/>
      <c r="L551" s="14"/>
      <c r="M551" s="14"/>
      <c r="N551" s="14"/>
      <c r="O551" s="15"/>
      <c r="P551" s="15"/>
      <c r="Q551" s="15"/>
      <c r="R551" s="15"/>
      <c r="S551" s="15"/>
      <c r="T551" s="15"/>
      <c r="U551" s="15"/>
      <c r="V551" s="15"/>
      <c r="W551" s="15"/>
      <c r="X551" s="15"/>
      <c r="Y551" s="15"/>
      <c r="Z551" s="15"/>
      <c r="AA551" s="15"/>
    </row>
    <row r="552" spans="2:27" s="13" customFormat="1">
      <c r="B552" s="12"/>
      <c r="L552" s="14"/>
      <c r="M552" s="14"/>
      <c r="N552" s="14"/>
      <c r="O552" s="15"/>
      <c r="P552" s="15"/>
      <c r="Q552" s="15"/>
      <c r="R552" s="15"/>
      <c r="S552" s="15"/>
      <c r="T552" s="15"/>
      <c r="U552" s="15"/>
      <c r="V552" s="15"/>
      <c r="W552" s="15"/>
      <c r="X552" s="15"/>
      <c r="Y552" s="15"/>
      <c r="Z552" s="15"/>
      <c r="AA552" s="15"/>
    </row>
    <row r="553" spans="2:27" s="13" customFormat="1">
      <c r="B553" s="12"/>
      <c r="L553" s="14"/>
      <c r="M553" s="14"/>
      <c r="N553" s="14"/>
      <c r="O553" s="15"/>
      <c r="P553" s="15"/>
      <c r="Q553" s="15"/>
      <c r="R553" s="15"/>
      <c r="S553" s="15"/>
      <c r="T553" s="15"/>
      <c r="U553" s="15"/>
      <c r="V553" s="15"/>
      <c r="W553" s="15"/>
      <c r="X553" s="15"/>
      <c r="Y553" s="15"/>
      <c r="Z553" s="15"/>
      <c r="AA553" s="15"/>
    </row>
    <row r="554" spans="2:27" s="13" customFormat="1">
      <c r="B554" s="12"/>
      <c r="L554" s="14"/>
      <c r="M554" s="14"/>
      <c r="N554" s="14"/>
      <c r="O554" s="15"/>
      <c r="P554" s="15"/>
      <c r="Q554" s="15"/>
      <c r="R554" s="15"/>
      <c r="S554" s="15"/>
      <c r="T554" s="15"/>
      <c r="U554" s="15"/>
      <c r="V554" s="15"/>
      <c r="W554" s="15"/>
      <c r="X554" s="15"/>
      <c r="Y554" s="15"/>
      <c r="Z554" s="15"/>
      <c r="AA554" s="15"/>
    </row>
    <row r="555" spans="2:27" s="13" customFormat="1">
      <c r="B555" s="12"/>
      <c r="L555" s="14"/>
      <c r="M555" s="14"/>
      <c r="N555" s="14"/>
      <c r="O555" s="15"/>
      <c r="P555" s="15"/>
      <c r="Q555" s="15"/>
      <c r="R555" s="15"/>
      <c r="S555" s="15"/>
      <c r="T555" s="15"/>
      <c r="U555" s="15"/>
      <c r="V555" s="15"/>
      <c r="W555" s="15"/>
      <c r="X555" s="15"/>
      <c r="Y555" s="15"/>
      <c r="Z555" s="15"/>
      <c r="AA555" s="15"/>
    </row>
    <row r="556" spans="2:27" s="13" customFormat="1">
      <c r="B556" s="12"/>
      <c r="L556" s="14"/>
      <c r="M556" s="14"/>
      <c r="N556" s="14"/>
      <c r="O556" s="15"/>
      <c r="P556" s="15"/>
      <c r="Q556" s="15"/>
      <c r="R556" s="15"/>
      <c r="S556" s="15"/>
      <c r="T556" s="15"/>
      <c r="U556" s="15"/>
      <c r="V556" s="15"/>
      <c r="W556" s="15"/>
      <c r="X556" s="15"/>
      <c r="Y556" s="15"/>
      <c r="Z556" s="15"/>
      <c r="AA556" s="15"/>
    </row>
    <row r="557" spans="2:27" s="13" customFormat="1">
      <c r="B557" s="12"/>
      <c r="L557" s="14"/>
      <c r="M557" s="14"/>
      <c r="N557" s="14"/>
      <c r="O557" s="15"/>
      <c r="P557" s="15"/>
      <c r="Q557" s="15"/>
      <c r="R557" s="15"/>
      <c r="S557" s="15"/>
      <c r="T557" s="15"/>
      <c r="U557" s="15"/>
      <c r="V557" s="15"/>
      <c r="W557" s="15"/>
      <c r="X557" s="15"/>
      <c r="Y557" s="15"/>
      <c r="Z557" s="15"/>
      <c r="AA557" s="15"/>
    </row>
    <row r="558" spans="2:27" s="13" customFormat="1">
      <c r="B558" s="12"/>
      <c r="L558" s="14"/>
      <c r="M558" s="14"/>
      <c r="N558" s="14"/>
      <c r="O558" s="15"/>
      <c r="P558" s="15"/>
      <c r="Q558" s="15"/>
      <c r="R558" s="15"/>
      <c r="S558" s="15"/>
      <c r="T558" s="15"/>
      <c r="U558" s="15"/>
      <c r="V558" s="15"/>
      <c r="W558" s="15"/>
      <c r="X558" s="15"/>
      <c r="Y558" s="15"/>
      <c r="Z558" s="15"/>
      <c r="AA558" s="15"/>
    </row>
    <row r="559" spans="2:27" s="13" customFormat="1">
      <c r="B559" s="12"/>
      <c r="L559" s="14"/>
      <c r="M559" s="14"/>
      <c r="N559" s="14"/>
      <c r="O559" s="15"/>
      <c r="P559" s="15"/>
      <c r="Q559" s="15"/>
      <c r="R559" s="15"/>
      <c r="S559" s="15"/>
      <c r="T559" s="15"/>
      <c r="U559" s="15"/>
      <c r="V559" s="15"/>
      <c r="W559" s="15"/>
      <c r="X559" s="15"/>
      <c r="Y559" s="15"/>
      <c r="Z559" s="15"/>
      <c r="AA559" s="15"/>
    </row>
    <row r="560" spans="2:27" s="13" customFormat="1">
      <c r="B560" s="12"/>
      <c r="L560" s="14"/>
      <c r="M560" s="14"/>
      <c r="N560" s="14"/>
      <c r="O560" s="15"/>
      <c r="P560" s="15"/>
      <c r="Q560" s="15"/>
      <c r="R560" s="15"/>
      <c r="S560" s="15"/>
      <c r="T560" s="15"/>
      <c r="U560" s="15"/>
      <c r="V560" s="15"/>
      <c r="W560" s="15"/>
      <c r="X560" s="15"/>
      <c r="Y560" s="15"/>
      <c r="Z560" s="15"/>
      <c r="AA560" s="15"/>
    </row>
    <row r="561" spans="2:27" s="13" customFormat="1">
      <c r="B561" s="12"/>
      <c r="L561" s="14"/>
      <c r="M561" s="14"/>
      <c r="N561" s="14"/>
      <c r="O561" s="15"/>
      <c r="P561" s="15"/>
      <c r="Q561" s="15"/>
      <c r="R561" s="15"/>
      <c r="S561" s="15"/>
      <c r="T561" s="15"/>
      <c r="U561" s="15"/>
      <c r="V561" s="15"/>
      <c r="W561" s="15"/>
      <c r="X561" s="15"/>
      <c r="Y561" s="15"/>
      <c r="Z561" s="15"/>
      <c r="AA561" s="15"/>
    </row>
    <row r="562" spans="2:27" s="13" customFormat="1">
      <c r="B562" s="12"/>
      <c r="L562" s="14"/>
      <c r="M562" s="14"/>
      <c r="N562" s="14"/>
      <c r="O562" s="15"/>
      <c r="P562" s="15"/>
      <c r="Q562" s="15"/>
      <c r="R562" s="15"/>
      <c r="S562" s="15"/>
      <c r="T562" s="15"/>
      <c r="U562" s="15"/>
      <c r="V562" s="15"/>
      <c r="W562" s="15"/>
      <c r="X562" s="15"/>
      <c r="Y562" s="15"/>
      <c r="Z562" s="15"/>
      <c r="AA562" s="15"/>
    </row>
    <row r="563" spans="2:27" s="13" customFormat="1">
      <c r="B563" s="12"/>
      <c r="L563" s="14"/>
      <c r="M563" s="14"/>
      <c r="N563" s="14"/>
      <c r="O563" s="15"/>
      <c r="P563" s="15"/>
      <c r="Q563" s="15"/>
      <c r="R563" s="15"/>
      <c r="S563" s="15"/>
      <c r="T563" s="15"/>
      <c r="U563" s="15"/>
      <c r="V563" s="15"/>
      <c r="W563" s="15"/>
      <c r="X563" s="15"/>
      <c r="Y563" s="15"/>
      <c r="Z563" s="15"/>
      <c r="AA563" s="15"/>
    </row>
    <row r="564" spans="2:27" s="13" customFormat="1">
      <c r="B564" s="12"/>
      <c r="L564" s="14"/>
      <c r="M564" s="14"/>
      <c r="N564" s="14"/>
      <c r="O564" s="15"/>
      <c r="P564" s="15"/>
      <c r="Q564" s="15"/>
      <c r="R564" s="15"/>
      <c r="S564" s="15"/>
      <c r="T564" s="15"/>
      <c r="U564" s="15"/>
      <c r="V564" s="15"/>
      <c r="W564" s="15"/>
      <c r="X564" s="15"/>
      <c r="Y564" s="15"/>
      <c r="Z564" s="15"/>
      <c r="AA564" s="15"/>
    </row>
    <row r="565" spans="2:27" s="13" customFormat="1">
      <c r="B565" s="12"/>
      <c r="L565" s="14"/>
      <c r="M565" s="14"/>
      <c r="N565" s="14"/>
      <c r="O565" s="15"/>
      <c r="P565" s="15"/>
      <c r="Q565" s="15"/>
      <c r="R565" s="15"/>
      <c r="S565" s="15"/>
      <c r="T565" s="15"/>
      <c r="U565" s="15"/>
      <c r="V565" s="15"/>
      <c r="W565" s="15"/>
      <c r="X565" s="15"/>
      <c r="Y565" s="15"/>
      <c r="Z565" s="15"/>
      <c r="AA565" s="15"/>
    </row>
    <row r="566" spans="2:27" s="13" customFormat="1">
      <c r="B566" s="12"/>
      <c r="L566" s="14"/>
      <c r="M566" s="14"/>
      <c r="N566" s="14"/>
      <c r="O566" s="15"/>
      <c r="P566" s="15"/>
      <c r="Q566" s="15"/>
      <c r="R566" s="15"/>
      <c r="S566" s="15"/>
      <c r="T566" s="15"/>
      <c r="U566" s="15"/>
      <c r="V566" s="15"/>
      <c r="W566" s="15"/>
      <c r="X566" s="15"/>
      <c r="Y566" s="15"/>
      <c r="Z566" s="15"/>
      <c r="AA566" s="15"/>
    </row>
    <row r="567" spans="2:27" s="13" customFormat="1">
      <c r="B567" s="12"/>
      <c r="L567" s="14"/>
      <c r="M567" s="14"/>
      <c r="N567" s="14"/>
      <c r="O567" s="15"/>
      <c r="P567" s="15"/>
      <c r="Q567" s="15"/>
      <c r="R567" s="15"/>
      <c r="S567" s="15"/>
      <c r="T567" s="15"/>
      <c r="U567" s="15"/>
      <c r="V567" s="15"/>
      <c r="W567" s="15"/>
      <c r="X567" s="15"/>
      <c r="Y567" s="15"/>
      <c r="Z567" s="15"/>
      <c r="AA567" s="15"/>
    </row>
    <row r="568" spans="2:27" s="13" customFormat="1">
      <c r="B568" s="12"/>
      <c r="L568" s="14"/>
      <c r="M568" s="14"/>
      <c r="N568" s="14"/>
      <c r="O568" s="15"/>
      <c r="P568" s="15"/>
      <c r="Q568" s="15"/>
      <c r="R568" s="15"/>
      <c r="S568" s="15"/>
      <c r="T568" s="15"/>
      <c r="U568" s="15"/>
      <c r="V568" s="15"/>
      <c r="W568" s="15"/>
      <c r="X568" s="15"/>
      <c r="Y568" s="15"/>
      <c r="Z568" s="15"/>
      <c r="AA568" s="15"/>
    </row>
    <row r="569" spans="2:27" s="13" customFormat="1">
      <c r="B569" s="12"/>
      <c r="L569" s="14"/>
      <c r="M569" s="14"/>
      <c r="N569" s="14"/>
      <c r="O569" s="15"/>
      <c r="P569" s="15"/>
      <c r="Q569" s="15"/>
      <c r="R569" s="15"/>
      <c r="S569" s="15"/>
      <c r="T569" s="15"/>
      <c r="U569" s="15"/>
      <c r="V569" s="15"/>
      <c r="W569" s="15"/>
      <c r="X569" s="15"/>
      <c r="Y569" s="15"/>
      <c r="Z569" s="15"/>
      <c r="AA569" s="15"/>
    </row>
    <row r="570" spans="2:27" s="13" customFormat="1">
      <c r="B570" s="12"/>
      <c r="L570" s="14"/>
      <c r="M570" s="14"/>
      <c r="N570" s="14"/>
      <c r="O570" s="15"/>
      <c r="P570" s="15"/>
      <c r="Q570" s="15"/>
      <c r="R570" s="15"/>
      <c r="S570" s="15"/>
      <c r="T570" s="15"/>
      <c r="U570" s="15"/>
      <c r="V570" s="15"/>
      <c r="W570" s="15"/>
      <c r="X570" s="15"/>
      <c r="Y570" s="15"/>
      <c r="Z570" s="15"/>
      <c r="AA570" s="15"/>
    </row>
    <row r="571" spans="2:27" s="13" customFormat="1">
      <c r="B571" s="12"/>
      <c r="L571" s="14"/>
      <c r="M571" s="14"/>
      <c r="N571" s="14"/>
      <c r="O571" s="15"/>
      <c r="P571" s="15"/>
      <c r="Q571" s="15"/>
      <c r="R571" s="15"/>
      <c r="S571" s="15"/>
      <c r="T571" s="15"/>
      <c r="U571" s="15"/>
      <c r="V571" s="15"/>
      <c r="W571" s="15"/>
      <c r="X571" s="15"/>
      <c r="Y571" s="15"/>
      <c r="Z571" s="15"/>
      <c r="AA571" s="15"/>
    </row>
    <row r="572" spans="2:27" s="13" customFormat="1">
      <c r="B572" s="12"/>
      <c r="L572" s="14"/>
      <c r="M572" s="14"/>
      <c r="N572" s="14"/>
      <c r="O572" s="15"/>
      <c r="P572" s="15"/>
      <c r="Q572" s="15"/>
      <c r="R572" s="15"/>
      <c r="S572" s="15"/>
      <c r="T572" s="15"/>
      <c r="U572" s="15"/>
      <c r="V572" s="15"/>
      <c r="W572" s="15"/>
      <c r="X572" s="15"/>
      <c r="Y572" s="15"/>
      <c r="Z572" s="15"/>
      <c r="AA572" s="15"/>
    </row>
    <row r="573" spans="2:27" s="13" customFormat="1">
      <c r="B573" s="12"/>
      <c r="L573" s="14"/>
      <c r="M573" s="14"/>
      <c r="N573" s="14"/>
      <c r="O573" s="15"/>
      <c r="P573" s="15"/>
      <c r="Q573" s="15"/>
      <c r="R573" s="15"/>
      <c r="S573" s="15"/>
      <c r="T573" s="15"/>
      <c r="U573" s="15"/>
      <c r="V573" s="15"/>
      <c r="W573" s="15"/>
      <c r="X573" s="15"/>
      <c r="Y573" s="15"/>
      <c r="Z573" s="15"/>
      <c r="AA573" s="15"/>
    </row>
    <row r="574" spans="2:27" s="13" customFormat="1">
      <c r="B574" s="12"/>
      <c r="L574" s="14"/>
      <c r="M574" s="14"/>
      <c r="N574" s="14"/>
      <c r="O574" s="15"/>
      <c r="P574" s="15"/>
      <c r="Q574" s="15"/>
      <c r="R574" s="15"/>
      <c r="S574" s="15"/>
      <c r="T574" s="15"/>
      <c r="U574" s="15"/>
      <c r="V574" s="15"/>
      <c r="W574" s="15"/>
      <c r="X574" s="15"/>
      <c r="Y574" s="15"/>
      <c r="Z574" s="15"/>
      <c r="AA574" s="15"/>
    </row>
    <row r="575" spans="2:27" s="13" customFormat="1">
      <c r="B575" s="12"/>
      <c r="L575" s="14"/>
      <c r="M575" s="14"/>
      <c r="N575" s="14"/>
      <c r="O575" s="15"/>
      <c r="P575" s="15"/>
      <c r="Q575" s="15"/>
      <c r="R575" s="15"/>
      <c r="S575" s="15"/>
      <c r="T575" s="15"/>
      <c r="U575" s="15"/>
      <c r="V575" s="15"/>
      <c r="W575" s="15"/>
      <c r="X575" s="15"/>
      <c r="Y575" s="15"/>
      <c r="Z575" s="15"/>
      <c r="AA575" s="15"/>
    </row>
    <row r="576" spans="2:27" s="13" customFormat="1">
      <c r="B576" s="12"/>
      <c r="L576" s="14"/>
      <c r="M576" s="14"/>
      <c r="N576" s="14"/>
      <c r="O576" s="15"/>
      <c r="P576" s="15"/>
      <c r="Q576" s="15"/>
      <c r="R576" s="15"/>
      <c r="S576" s="15"/>
      <c r="T576" s="15"/>
      <c r="U576" s="15"/>
      <c r="V576" s="15"/>
      <c r="W576" s="15"/>
      <c r="X576" s="15"/>
      <c r="Y576" s="15"/>
      <c r="Z576" s="15"/>
      <c r="AA576" s="15"/>
    </row>
    <row r="577" spans="2:27" s="13" customFormat="1">
      <c r="B577" s="12"/>
      <c r="L577" s="14"/>
      <c r="M577" s="14"/>
      <c r="N577" s="14"/>
      <c r="O577" s="15"/>
      <c r="P577" s="15"/>
      <c r="Q577" s="15"/>
      <c r="R577" s="15"/>
      <c r="S577" s="15"/>
      <c r="T577" s="15"/>
      <c r="U577" s="15"/>
      <c r="V577" s="15"/>
      <c r="W577" s="15"/>
      <c r="X577" s="15"/>
      <c r="Y577" s="15"/>
      <c r="Z577" s="15"/>
      <c r="AA577" s="15"/>
    </row>
    <row r="578" spans="2:27" s="13" customFormat="1">
      <c r="B578" s="12"/>
      <c r="L578" s="14"/>
      <c r="M578" s="14"/>
      <c r="N578" s="14"/>
      <c r="O578" s="15"/>
      <c r="P578" s="15"/>
      <c r="Q578" s="15"/>
      <c r="R578" s="15"/>
      <c r="S578" s="15"/>
      <c r="T578" s="15"/>
      <c r="U578" s="15"/>
      <c r="V578" s="15"/>
      <c r="W578" s="15"/>
      <c r="X578" s="15"/>
      <c r="Y578" s="15"/>
      <c r="Z578" s="15"/>
      <c r="AA578" s="15"/>
    </row>
    <row r="579" spans="2:27" s="13" customFormat="1">
      <c r="B579" s="12"/>
      <c r="L579" s="14"/>
      <c r="M579" s="14"/>
      <c r="N579" s="14"/>
      <c r="O579" s="15"/>
      <c r="P579" s="15"/>
      <c r="Q579" s="15"/>
      <c r="R579" s="15"/>
      <c r="S579" s="15"/>
      <c r="T579" s="15"/>
      <c r="U579" s="15"/>
      <c r="V579" s="15"/>
      <c r="W579" s="15"/>
      <c r="X579" s="15"/>
      <c r="Y579" s="15"/>
      <c r="Z579" s="15"/>
      <c r="AA579" s="15"/>
    </row>
    <row r="580" spans="2:27" s="13" customFormat="1">
      <c r="B580" s="12"/>
      <c r="L580" s="14"/>
      <c r="M580" s="14"/>
      <c r="N580" s="14"/>
      <c r="O580" s="15"/>
      <c r="P580" s="15"/>
      <c r="Q580" s="15"/>
      <c r="R580" s="15"/>
      <c r="S580" s="15"/>
      <c r="T580" s="15"/>
      <c r="U580" s="15"/>
      <c r="V580" s="15"/>
      <c r="W580" s="15"/>
      <c r="X580" s="15"/>
      <c r="Y580" s="15"/>
      <c r="Z580" s="15"/>
      <c r="AA580" s="15"/>
    </row>
    <row r="581" spans="2:27" s="13" customFormat="1">
      <c r="B581" s="12"/>
      <c r="L581" s="14"/>
      <c r="M581" s="14"/>
      <c r="N581" s="14"/>
      <c r="O581" s="15"/>
      <c r="P581" s="15"/>
      <c r="Q581" s="15"/>
      <c r="R581" s="15"/>
      <c r="S581" s="15"/>
      <c r="T581" s="15"/>
      <c r="U581" s="15"/>
      <c r="V581" s="15"/>
      <c r="W581" s="15"/>
      <c r="X581" s="15"/>
      <c r="Y581" s="15"/>
      <c r="Z581" s="15"/>
      <c r="AA581" s="15"/>
    </row>
    <row r="582" spans="2:27" s="13" customFormat="1">
      <c r="B582" s="12"/>
      <c r="L582" s="14"/>
      <c r="M582" s="14"/>
      <c r="N582" s="14"/>
      <c r="O582" s="15"/>
      <c r="P582" s="15"/>
      <c r="Q582" s="15"/>
      <c r="R582" s="15"/>
      <c r="S582" s="15"/>
      <c r="T582" s="15"/>
      <c r="U582" s="15"/>
      <c r="V582" s="15"/>
      <c r="W582" s="15"/>
      <c r="X582" s="15"/>
      <c r="Y582" s="15"/>
      <c r="Z582" s="15"/>
      <c r="AA582" s="15"/>
    </row>
    <row r="583" spans="2:27" s="13" customFormat="1">
      <c r="B583" s="12"/>
      <c r="L583" s="14"/>
      <c r="M583" s="14"/>
      <c r="N583" s="14"/>
      <c r="O583" s="15"/>
      <c r="P583" s="15"/>
      <c r="Q583" s="15"/>
      <c r="R583" s="15"/>
      <c r="S583" s="15"/>
      <c r="T583" s="15"/>
      <c r="U583" s="15"/>
      <c r="V583" s="15"/>
      <c r="W583" s="15"/>
      <c r="X583" s="15"/>
      <c r="Y583" s="15"/>
      <c r="Z583" s="15"/>
      <c r="AA583" s="15"/>
    </row>
    <row r="584" spans="2:27" s="13" customFormat="1">
      <c r="B584" s="12"/>
      <c r="L584" s="14"/>
      <c r="M584" s="14"/>
      <c r="N584" s="14"/>
      <c r="O584" s="15"/>
      <c r="P584" s="15"/>
      <c r="Q584" s="15"/>
      <c r="R584" s="15"/>
      <c r="S584" s="15"/>
      <c r="T584" s="15"/>
      <c r="U584" s="15"/>
      <c r="V584" s="15"/>
      <c r="W584" s="15"/>
      <c r="X584" s="15"/>
      <c r="Y584" s="15"/>
      <c r="Z584" s="15"/>
      <c r="AA584" s="15"/>
    </row>
    <row r="585" spans="2:27" s="13" customFormat="1">
      <c r="B585" s="12"/>
      <c r="L585" s="14"/>
      <c r="M585" s="14"/>
      <c r="N585" s="14"/>
      <c r="O585" s="15"/>
      <c r="P585" s="15"/>
      <c r="Q585" s="15"/>
      <c r="R585" s="15"/>
      <c r="S585" s="15"/>
      <c r="T585" s="15"/>
      <c r="U585" s="15"/>
      <c r="V585" s="15"/>
      <c r="W585" s="15"/>
      <c r="X585" s="15"/>
      <c r="Y585" s="15"/>
      <c r="Z585" s="15"/>
      <c r="AA585" s="15"/>
    </row>
    <row r="586" spans="2:27" s="13" customFormat="1">
      <c r="B586" s="12"/>
      <c r="L586" s="14"/>
      <c r="M586" s="14"/>
      <c r="N586" s="14"/>
      <c r="O586" s="15"/>
      <c r="P586" s="15"/>
      <c r="Q586" s="15"/>
      <c r="R586" s="15"/>
      <c r="S586" s="15"/>
      <c r="T586" s="15"/>
      <c r="U586" s="15"/>
      <c r="V586" s="15"/>
      <c r="W586" s="15"/>
      <c r="X586" s="15"/>
      <c r="Y586" s="15"/>
      <c r="Z586" s="15"/>
      <c r="AA586" s="15"/>
    </row>
    <row r="587" spans="2:27" s="13" customFormat="1">
      <c r="B587" s="12"/>
      <c r="L587" s="14"/>
      <c r="M587" s="14"/>
      <c r="N587" s="14"/>
      <c r="O587" s="15"/>
      <c r="P587" s="15"/>
      <c r="Q587" s="15"/>
      <c r="R587" s="15"/>
      <c r="S587" s="15"/>
      <c r="T587" s="15"/>
      <c r="U587" s="15"/>
      <c r="V587" s="15"/>
      <c r="W587" s="15"/>
      <c r="X587" s="15"/>
      <c r="Y587" s="15"/>
      <c r="Z587" s="15"/>
      <c r="AA587" s="15"/>
    </row>
    <row r="588" spans="2:27" s="13" customFormat="1">
      <c r="B588" s="12"/>
      <c r="L588" s="14"/>
      <c r="M588" s="14"/>
      <c r="N588" s="14"/>
      <c r="O588" s="15"/>
      <c r="P588" s="15"/>
      <c r="Q588" s="15"/>
      <c r="R588" s="15"/>
      <c r="S588" s="15"/>
      <c r="T588" s="15"/>
      <c r="U588" s="15"/>
      <c r="V588" s="15"/>
      <c r="W588" s="15"/>
      <c r="X588" s="15"/>
      <c r="Y588" s="15"/>
      <c r="Z588" s="15"/>
      <c r="AA588" s="15"/>
    </row>
    <row r="589" spans="2:27" s="13" customFormat="1">
      <c r="B589" s="12"/>
      <c r="L589" s="14"/>
      <c r="M589" s="14"/>
      <c r="N589" s="14"/>
      <c r="O589" s="15"/>
      <c r="P589" s="15"/>
      <c r="Q589" s="15"/>
      <c r="R589" s="15"/>
      <c r="S589" s="15"/>
      <c r="T589" s="15"/>
      <c r="U589" s="15"/>
      <c r="V589" s="15"/>
      <c r="W589" s="15"/>
      <c r="X589" s="15"/>
      <c r="Y589" s="15"/>
      <c r="Z589" s="15"/>
      <c r="AA589" s="15"/>
    </row>
    <row r="590" spans="2:27" s="13" customFormat="1">
      <c r="B590" s="12"/>
      <c r="L590" s="14"/>
      <c r="M590" s="14"/>
      <c r="N590" s="14"/>
      <c r="O590" s="15"/>
      <c r="P590" s="15"/>
      <c r="Q590" s="15"/>
      <c r="R590" s="15"/>
      <c r="S590" s="15"/>
      <c r="T590" s="15"/>
      <c r="U590" s="15"/>
      <c r="V590" s="15"/>
      <c r="W590" s="15"/>
      <c r="X590" s="15"/>
      <c r="Y590" s="15"/>
      <c r="Z590" s="15"/>
      <c r="AA590" s="15"/>
    </row>
    <row r="591" spans="2:27" s="13" customFormat="1">
      <c r="B591" s="12"/>
      <c r="L591" s="14"/>
      <c r="M591" s="14"/>
      <c r="N591" s="14"/>
      <c r="O591" s="15"/>
      <c r="P591" s="15"/>
      <c r="Q591" s="15"/>
      <c r="R591" s="15"/>
      <c r="S591" s="15"/>
      <c r="T591" s="15"/>
      <c r="U591" s="15"/>
      <c r="V591" s="15"/>
      <c r="W591" s="15"/>
      <c r="X591" s="15"/>
      <c r="Y591" s="15"/>
      <c r="Z591" s="15"/>
      <c r="AA591" s="15"/>
    </row>
    <row r="592" spans="2:27" s="13" customFormat="1">
      <c r="B592" s="12"/>
      <c r="L592" s="14"/>
      <c r="M592" s="14"/>
      <c r="N592" s="14"/>
      <c r="O592" s="15"/>
      <c r="P592" s="15"/>
      <c r="Q592" s="15"/>
      <c r="R592" s="15"/>
      <c r="S592" s="15"/>
      <c r="T592" s="15"/>
      <c r="U592" s="15"/>
      <c r="V592" s="15"/>
      <c r="W592" s="15"/>
      <c r="X592" s="15"/>
      <c r="Y592" s="15"/>
      <c r="Z592" s="15"/>
      <c r="AA592" s="15"/>
    </row>
    <row r="593" spans="2:27" s="13" customFormat="1">
      <c r="B593" s="12"/>
      <c r="L593" s="14"/>
      <c r="M593" s="14"/>
      <c r="N593" s="14"/>
      <c r="O593" s="15"/>
      <c r="P593" s="15"/>
      <c r="Q593" s="15"/>
      <c r="R593" s="15"/>
      <c r="S593" s="15"/>
      <c r="T593" s="15"/>
      <c r="U593" s="15"/>
      <c r="V593" s="15"/>
      <c r="W593" s="15"/>
      <c r="X593" s="15"/>
      <c r="Y593" s="15"/>
      <c r="Z593" s="15"/>
      <c r="AA593" s="15"/>
    </row>
    <row r="594" spans="2:27" s="13" customFormat="1">
      <c r="B594" s="12"/>
      <c r="L594" s="14"/>
      <c r="M594" s="14"/>
      <c r="N594" s="14"/>
      <c r="O594" s="15"/>
      <c r="P594" s="15"/>
      <c r="Q594" s="15"/>
      <c r="R594" s="15"/>
      <c r="S594" s="15"/>
      <c r="T594" s="15"/>
      <c r="U594" s="15"/>
      <c r="V594" s="15"/>
      <c r="W594" s="15"/>
      <c r="X594" s="15"/>
      <c r="Y594" s="15"/>
      <c r="Z594" s="15"/>
      <c r="AA594" s="15"/>
    </row>
    <row r="595" spans="2:27" s="13" customFormat="1">
      <c r="B595" s="12"/>
      <c r="L595" s="14"/>
      <c r="M595" s="14"/>
      <c r="N595" s="14"/>
      <c r="O595" s="15"/>
      <c r="P595" s="15"/>
      <c r="Q595" s="15"/>
      <c r="R595" s="15"/>
      <c r="S595" s="15"/>
      <c r="T595" s="15"/>
      <c r="U595" s="15"/>
      <c r="V595" s="15"/>
      <c r="W595" s="15"/>
      <c r="X595" s="15"/>
      <c r="Y595" s="15"/>
      <c r="Z595" s="15"/>
      <c r="AA595" s="15"/>
    </row>
    <row r="596" spans="2:27" s="13" customFormat="1">
      <c r="B596" s="12"/>
      <c r="L596" s="14"/>
      <c r="M596" s="14"/>
      <c r="N596" s="14"/>
      <c r="O596" s="15"/>
      <c r="P596" s="15"/>
      <c r="Q596" s="15"/>
      <c r="R596" s="15"/>
      <c r="S596" s="15"/>
      <c r="T596" s="15"/>
      <c r="U596" s="15"/>
      <c r="V596" s="15"/>
      <c r="W596" s="15"/>
      <c r="X596" s="15"/>
      <c r="Y596" s="15"/>
      <c r="Z596" s="15"/>
      <c r="AA596" s="15"/>
    </row>
    <row r="597" spans="2:27" s="13" customFormat="1">
      <c r="B597" s="12"/>
      <c r="L597" s="14"/>
      <c r="M597" s="14"/>
      <c r="N597" s="14"/>
      <c r="O597" s="15"/>
      <c r="P597" s="15"/>
      <c r="Q597" s="15"/>
      <c r="R597" s="15"/>
      <c r="S597" s="15"/>
      <c r="T597" s="15"/>
      <c r="U597" s="15"/>
      <c r="V597" s="15"/>
      <c r="W597" s="15"/>
      <c r="X597" s="15"/>
      <c r="Y597" s="15"/>
      <c r="Z597" s="15"/>
      <c r="AA597" s="15"/>
    </row>
    <row r="598" spans="2:27" s="13" customFormat="1">
      <c r="B598" s="12"/>
      <c r="L598" s="14"/>
      <c r="M598" s="14"/>
      <c r="N598" s="14"/>
      <c r="O598" s="15"/>
      <c r="P598" s="15"/>
      <c r="Q598" s="15"/>
      <c r="R598" s="15"/>
      <c r="S598" s="15"/>
      <c r="T598" s="15"/>
      <c r="U598" s="15"/>
      <c r="V598" s="15"/>
      <c r="W598" s="15"/>
      <c r="X598" s="15"/>
      <c r="Y598" s="15"/>
      <c r="Z598" s="15"/>
      <c r="AA598" s="15"/>
    </row>
    <row r="599" spans="2:27" s="13" customFormat="1">
      <c r="B599" s="12"/>
      <c r="L599" s="14"/>
      <c r="M599" s="14"/>
      <c r="N599" s="14"/>
      <c r="O599" s="15"/>
      <c r="P599" s="15"/>
      <c r="Q599" s="15"/>
      <c r="R599" s="15"/>
      <c r="S599" s="15"/>
      <c r="T599" s="15"/>
      <c r="U599" s="15"/>
      <c r="V599" s="15"/>
      <c r="W599" s="15"/>
      <c r="X599" s="15"/>
      <c r="Y599" s="15"/>
      <c r="Z599" s="15"/>
      <c r="AA599" s="15"/>
    </row>
    <row r="600" spans="2:27" s="13" customFormat="1">
      <c r="B600" s="12"/>
      <c r="L600" s="14"/>
      <c r="M600" s="14"/>
      <c r="N600" s="14"/>
      <c r="O600" s="15"/>
      <c r="P600" s="15"/>
      <c r="Q600" s="15"/>
      <c r="R600" s="15"/>
      <c r="S600" s="15"/>
      <c r="T600" s="15"/>
      <c r="U600" s="15"/>
      <c r="V600" s="15"/>
      <c r="W600" s="15"/>
      <c r="X600" s="15"/>
      <c r="Y600" s="15"/>
      <c r="Z600" s="15"/>
      <c r="AA600" s="15"/>
    </row>
    <row r="601" spans="2:27" s="13" customFormat="1">
      <c r="B601" s="12"/>
      <c r="L601" s="14"/>
      <c r="M601" s="14"/>
      <c r="N601" s="14"/>
      <c r="O601" s="15"/>
      <c r="P601" s="15"/>
      <c r="Q601" s="15"/>
      <c r="R601" s="15"/>
      <c r="S601" s="15"/>
      <c r="T601" s="15"/>
      <c r="U601" s="15"/>
      <c r="V601" s="15"/>
      <c r="W601" s="15"/>
      <c r="X601" s="15"/>
      <c r="Y601" s="15"/>
      <c r="Z601" s="15"/>
      <c r="AA601" s="15"/>
    </row>
    <row r="602" spans="2:27" s="13" customFormat="1">
      <c r="B602" s="12"/>
      <c r="L602" s="14"/>
      <c r="M602" s="14"/>
      <c r="N602" s="14"/>
      <c r="O602" s="15"/>
      <c r="P602" s="15"/>
      <c r="Q602" s="15"/>
      <c r="R602" s="15"/>
      <c r="S602" s="15"/>
      <c r="T602" s="15"/>
      <c r="U602" s="15"/>
      <c r="V602" s="15"/>
      <c r="W602" s="15"/>
      <c r="X602" s="15"/>
      <c r="Y602" s="15"/>
      <c r="Z602" s="15"/>
      <c r="AA602" s="15"/>
    </row>
    <row r="603" spans="2:27" s="13" customFormat="1">
      <c r="B603" s="12"/>
      <c r="L603" s="14"/>
      <c r="M603" s="14"/>
      <c r="N603" s="14"/>
      <c r="O603" s="15"/>
      <c r="P603" s="15"/>
      <c r="Q603" s="15"/>
      <c r="R603" s="15"/>
      <c r="S603" s="15"/>
      <c r="T603" s="15"/>
      <c r="U603" s="15"/>
      <c r="V603" s="15"/>
      <c r="W603" s="15"/>
      <c r="X603" s="15"/>
      <c r="Y603" s="15"/>
      <c r="Z603" s="15"/>
      <c r="AA603" s="15"/>
    </row>
    <row r="604" spans="2:27" s="13" customFormat="1">
      <c r="B604" s="12"/>
      <c r="L604" s="14"/>
      <c r="M604" s="14"/>
      <c r="N604" s="14"/>
      <c r="O604" s="15"/>
      <c r="P604" s="15"/>
      <c r="Q604" s="15"/>
      <c r="R604" s="15"/>
      <c r="S604" s="15"/>
      <c r="T604" s="15"/>
      <c r="U604" s="15"/>
      <c r="V604" s="15"/>
      <c r="W604" s="15"/>
      <c r="X604" s="15"/>
      <c r="Y604" s="15"/>
      <c r="Z604" s="15"/>
      <c r="AA604" s="15"/>
    </row>
    <row r="605" spans="2:27" s="13" customFormat="1">
      <c r="B605" s="12"/>
      <c r="L605" s="14"/>
      <c r="M605" s="14"/>
      <c r="N605" s="14"/>
      <c r="O605" s="15"/>
      <c r="P605" s="15"/>
      <c r="Q605" s="15"/>
      <c r="R605" s="15"/>
      <c r="S605" s="15"/>
      <c r="T605" s="15"/>
      <c r="U605" s="15"/>
      <c r="V605" s="15"/>
      <c r="W605" s="15"/>
      <c r="X605" s="15"/>
      <c r="Y605" s="15"/>
      <c r="Z605" s="15"/>
      <c r="AA605" s="15"/>
    </row>
    <row r="606" spans="2:27" s="13" customFormat="1">
      <c r="B606" s="12"/>
      <c r="L606" s="14"/>
      <c r="M606" s="14"/>
      <c r="N606" s="14"/>
      <c r="O606" s="15"/>
      <c r="P606" s="15"/>
      <c r="Q606" s="15"/>
      <c r="R606" s="15"/>
      <c r="S606" s="15"/>
      <c r="T606" s="15"/>
      <c r="U606" s="15"/>
      <c r="V606" s="15"/>
      <c r="W606" s="15"/>
      <c r="X606" s="15"/>
      <c r="Y606" s="15"/>
      <c r="Z606" s="15"/>
      <c r="AA606" s="15"/>
    </row>
    <row r="607" spans="2:27" s="13" customFormat="1">
      <c r="B607" s="12"/>
      <c r="L607" s="14"/>
      <c r="M607" s="14"/>
      <c r="N607" s="14"/>
      <c r="O607" s="15"/>
      <c r="P607" s="15"/>
      <c r="Q607" s="15"/>
      <c r="R607" s="15"/>
      <c r="S607" s="15"/>
      <c r="T607" s="15"/>
      <c r="U607" s="15"/>
      <c r="V607" s="15"/>
      <c r="W607" s="15"/>
      <c r="X607" s="15"/>
      <c r="Y607" s="15"/>
      <c r="Z607" s="15"/>
      <c r="AA607" s="15"/>
    </row>
    <row r="608" spans="2:27" s="13" customFormat="1">
      <c r="B608" s="12"/>
      <c r="L608" s="14"/>
      <c r="M608" s="14"/>
      <c r="N608" s="14"/>
      <c r="O608" s="15"/>
      <c r="P608" s="15"/>
      <c r="Q608" s="15"/>
      <c r="R608" s="15"/>
      <c r="S608" s="15"/>
      <c r="T608" s="15"/>
      <c r="U608" s="15"/>
      <c r="V608" s="15"/>
      <c r="W608" s="15"/>
      <c r="X608" s="15"/>
      <c r="Y608" s="15"/>
      <c r="Z608" s="15"/>
      <c r="AA608" s="15"/>
    </row>
    <row r="609" spans="2:27" s="13" customFormat="1">
      <c r="B609" s="12"/>
      <c r="L609" s="14"/>
      <c r="M609" s="14"/>
      <c r="N609" s="14"/>
      <c r="O609" s="15"/>
      <c r="P609" s="15"/>
      <c r="Q609" s="15"/>
      <c r="R609" s="15"/>
      <c r="S609" s="15"/>
      <c r="T609" s="15"/>
      <c r="U609" s="15"/>
      <c r="V609" s="15"/>
      <c r="W609" s="15"/>
      <c r="X609" s="15"/>
      <c r="Y609" s="15"/>
      <c r="Z609" s="15"/>
      <c r="AA609" s="15"/>
    </row>
    <row r="610" spans="2:27" s="13" customFormat="1">
      <c r="B610" s="12"/>
      <c r="L610" s="14"/>
      <c r="M610" s="14"/>
      <c r="N610" s="14"/>
      <c r="O610" s="15"/>
      <c r="P610" s="15"/>
      <c r="Q610" s="15"/>
      <c r="R610" s="15"/>
      <c r="S610" s="15"/>
      <c r="T610" s="15"/>
      <c r="U610" s="15"/>
      <c r="V610" s="15"/>
      <c r="W610" s="15"/>
      <c r="X610" s="15"/>
      <c r="Y610" s="15"/>
      <c r="Z610" s="15"/>
      <c r="AA610" s="15"/>
    </row>
    <row r="611" spans="2:27" s="13" customFormat="1">
      <c r="B611" s="12"/>
      <c r="L611" s="14"/>
      <c r="M611" s="14"/>
      <c r="N611" s="14"/>
      <c r="O611" s="15"/>
      <c r="P611" s="15"/>
      <c r="Q611" s="15"/>
      <c r="R611" s="15"/>
      <c r="S611" s="15"/>
      <c r="T611" s="15"/>
      <c r="U611" s="15"/>
      <c r="V611" s="15"/>
      <c r="W611" s="15"/>
      <c r="X611" s="15"/>
      <c r="Y611" s="15"/>
      <c r="Z611" s="15"/>
      <c r="AA611" s="15"/>
    </row>
    <row r="612" spans="2:27" s="13" customFormat="1">
      <c r="B612" s="12"/>
      <c r="L612" s="14"/>
      <c r="M612" s="14"/>
      <c r="N612" s="14"/>
      <c r="O612" s="15"/>
      <c r="P612" s="15"/>
      <c r="Q612" s="15"/>
      <c r="R612" s="15"/>
      <c r="S612" s="15"/>
      <c r="T612" s="15"/>
      <c r="U612" s="15"/>
      <c r="V612" s="15"/>
      <c r="W612" s="15"/>
      <c r="X612" s="15"/>
      <c r="Y612" s="15"/>
      <c r="Z612" s="15"/>
      <c r="AA612" s="15"/>
    </row>
    <row r="613" spans="2:27" s="13" customFormat="1">
      <c r="B613" s="12"/>
      <c r="L613" s="14"/>
      <c r="M613" s="14"/>
      <c r="N613" s="14"/>
      <c r="O613" s="15"/>
      <c r="P613" s="15"/>
      <c r="Q613" s="15"/>
      <c r="R613" s="15"/>
      <c r="S613" s="15"/>
      <c r="T613" s="15"/>
      <c r="U613" s="15"/>
      <c r="V613" s="15"/>
      <c r="W613" s="15"/>
      <c r="X613" s="15"/>
      <c r="Y613" s="15"/>
      <c r="Z613" s="15"/>
      <c r="AA613" s="15"/>
    </row>
    <row r="614" spans="2:27" s="13" customFormat="1">
      <c r="B614" s="12"/>
      <c r="L614" s="14"/>
      <c r="M614" s="14"/>
      <c r="N614" s="14"/>
      <c r="O614" s="15"/>
      <c r="P614" s="15"/>
      <c r="Q614" s="15"/>
      <c r="R614" s="15"/>
      <c r="S614" s="15"/>
      <c r="T614" s="15"/>
      <c r="U614" s="15"/>
      <c r="V614" s="15"/>
      <c r="W614" s="15"/>
      <c r="X614" s="15"/>
      <c r="Y614" s="15"/>
      <c r="Z614" s="15"/>
      <c r="AA614" s="15"/>
    </row>
    <row r="615" spans="2:27" s="13" customFormat="1">
      <c r="B615" s="12"/>
      <c r="L615" s="14"/>
      <c r="M615" s="14"/>
      <c r="N615" s="14"/>
      <c r="O615" s="15"/>
      <c r="P615" s="15"/>
      <c r="Q615" s="15"/>
      <c r="R615" s="15"/>
      <c r="S615" s="15"/>
      <c r="T615" s="15"/>
      <c r="U615" s="15"/>
      <c r="V615" s="15"/>
      <c r="W615" s="15"/>
      <c r="X615" s="15"/>
      <c r="Y615" s="15"/>
      <c r="Z615" s="15"/>
      <c r="AA615" s="15"/>
    </row>
    <row r="616" spans="2:27" s="13" customFormat="1">
      <c r="B616" s="12"/>
      <c r="L616" s="14"/>
      <c r="M616" s="14"/>
      <c r="N616" s="14"/>
      <c r="O616" s="15"/>
      <c r="P616" s="15"/>
      <c r="Q616" s="15"/>
      <c r="R616" s="15"/>
      <c r="S616" s="15"/>
      <c r="T616" s="15"/>
      <c r="U616" s="15"/>
      <c r="V616" s="15"/>
      <c r="W616" s="15"/>
      <c r="X616" s="15"/>
      <c r="Y616" s="15"/>
      <c r="Z616" s="15"/>
      <c r="AA616" s="15"/>
    </row>
    <row r="617" spans="2:27" s="13" customFormat="1">
      <c r="B617" s="12"/>
      <c r="L617" s="14"/>
      <c r="M617" s="14"/>
      <c r="N617" s="14"/>
      <c r="O617" s="15"/>
      <c r="P617" s="15"/>
      <c r="Q617" s="15"/>
      <c r="R617" s="15"/>
      <c r="S617" s="15"/>
      <c r="T617" s="15"/>
      <c r="U617" s="15"/>
      <c r="V617" s="15"/>
      <c r="W617" s="15"/>
      <c r="X617" s="15"/>
      <c r="Y617" s="15"/>
      <c r="Z617" s="15"/>
      <c r="AA617" s="15"/>
    </row>
    <row r="618" spans="2:27" s="13" customFormat="1">
      <c r="B618" s="12"/>
      <c r="L618" s="14"/>
      <c r="M618" s="14"/>
      <c r="N618" s="14"/>
      <c r="O618" s="15"/>
      <c r="P618" s="15"/>
      <c r="Q618" s="15"/>
      <c r="R618" s="15"/>
      <c r="S618" s="15"/>
      <c r="T618" s="15"/>
      <c r="U618" s="15"/>
      <c r="V618" s="15"/>
      <c r="W618" s="15"/>
      <c r="X618" s="15"/>
      <c r="Y618" s="15"/>
      <c r="Z618" s="15"/>
      <c r="AA618" s="15"/>
    </row>
    <row r="619" spans="2:27" s="13" customFormat="1">
      <c r="B619" s="12"/>
      <c r="L619" s="14"/>
      <c r="M619" s="14"/>
      <c r="N619" s="14"/>
      <c r="O619" s="15"/>
      <c r="P619" s="15"/>
      <c r="Q619" s="15"/>
      <c r="R619" s="15"/>
      <c r="S619" s="15"/>
      <c r="T619" s="15"/>
      <c r="U619" s="15"/>
      <c r="V619" s="15"/>
      <c r="W619" s="15"/>
      <c r="X619" s="15"/>
      <c r="Y619" s="15"/>
      <c r="Z619" s="15"/>
      <c r="AA619" s="15"/>
    </row>
    <row r="620" spans="2:27" s="13" customFormat="1">
      <c r="B620" s="12"/>
      <c r="L620" s="14"/>
      <c r="M620" s="14"/>
      <c r="N620" s="14"/>
      <c r="O620" s="15"/>
      <c r="P620" s="15"/>
      <c r="Q620" s="15"/>
      <c r="R620" s="15"/>
      <c r="S620" s="15"/>
      <c r="T620" s="15"/>
      <c r="U620" s="15"/>
      <c r="V620" s="15"/>
      <c r="W620" s="15"/>
      <c r="X620" s="15"/>
      <c r="Y620" s="15"/>
      <c r="Z620" s="15"/>
      <c r="AA620" s="15"/>
    </row>
    <row r="621" spans="2:27" s="13" customFormat="1">
      <c r="B621" s="12"/>
      <c r="L621" s="14"/>
      <c r="M621" s="14"/>
      <c r="N621" s="14"/>
      <c r="O621" s="15"/>
      <c r="P621" s="15"/>
      <c r="Q621" s="15"/>
      <c r="R621" s="15"/>
      <c r="S621" s="15"/>
      <c r="T621" s="15"/>
      <c r="U621" s="15"/>
      <c r="V621" s="15"/>
      <c r="W621" s="15"/>
      <c r="X621" s="15"/>
      <c r="Y621" s="15"/>
      <c r="Z621" s="15"/>
      <c r="AA621" s="15"/>
    </row>
    <row r="622" spans="2:27" s="13" customFormat="1">
      <c r="B622" s="12"/>
      <c r="L622" s="14"/>
      <c r="M622" s="14"/>
      <c r="N622" s="14"/>
      <c r="O622" s="15"/>
      <c r="P622" s="15"/>
      <c r="Q622" s="15"/>
      <c r="R622" s="15"/>
      <c r="S622" s="15"/>
      <c r="T622" s="15"/>
      <c r="U622" s="15"/>
      <c r="V622" s="15"/>
      <c r="W622" s="15"/>
      <c r="X622" s="15"/>
      <c r="Y622" s="15"/>
      <c r="Z622" s="15"/>
      <c r="AA622" s="15"/>
    </row>
    <row r="623" spans="2:27" s="13" customFormat="1">
      <c r="B623" s="12"/>
      <c r="L623" s="14"/>
      <c r="M623" s="14"/>
      <c r="N623" s="14"/>
      <c r="O623" s="15"/>
      <c r="P623" s="15"/>
      <c r="Q623" s="15"/>
      <c r="R623" s="15"/>
      <c r="S623" s="15"/>
      <c r="T623" s="15"/>
      <c r="U623" s="15"/>
      <c r="V623" s="15"/>
      <c r="W623" s="15"/>
      <c r="X623" s="15"/>
      <c r="Y623" s="15"/>
      <c r="Z623" s="15"/>
      <c r="AA623" s="15"/>
    </row>
    <row r="624" spans="2:27" s="13" customFormat="1">
      <c r="B624" s="12"/>
      <c r="L624" s="14"/>
      <c r="M624" s="14"/>
      <c r="N624" s="14"/>
      <c r="O624" s="15"/>
      <c r="P624" s="15"/>
      <c r="Q624" s="15"/>
      <c r="R624" s="15"/>
      <c r="S624" s="15"/>
      <c r="T624" s="15"/>
      <c r="U624" s="15"/>
      <c r="V624" s="15"/>
      <c r="W624" s="15"/>
      <c r="X624" s="15"/>
      <c r="Y624" s="15"/>
      <c r="Z624" s="15"/>
      <c r="AA624" s="15"/>
    </row>
    <row r="625" spans="2:27" s="13" customFormat="1">
      <c r="B625" s="12"/>
      <c r="L625" s="14"/>
      <c r="M625" s="14"/>
      <c r="N625" s="14"/>
      <c r="O625" s="15"/>
      <c r="P625" s="15"/>
      <c r="Q625" s="15"/>
      <c r="R625" s="15"/>
      <c r="S625" s="15"/>
      <c r="T625" s="15"/>
      <c r="U625" s="15"/>
      <c r="V625" s="15"/>
      <c r="W625" s="15"/>
      <c r="X625" s="15"/>
      <c r="Y625" s="15"/>
      <c r="Z625" s="15"/>
      <c r="AA625" s="15"/>
    </row>
    <row r="626" spans="2:27" s="13" customFormat="1">
      <c r="B626" s="12"/>
      <c r="L626" s="14"/>
      <c r="M626" s="14"/>
      <c r="N626" s="14"/>
      <c r="O626" s="15"/>
      <c r="P626" s="15"/>
      <c r="Q626" s="15"/>
      <c r="R626" s="15"/>
      <c r="S626" s="15"/>
      <c r="T626" s="15"/>
      <c r="U626" s="15"/>
      <c r="V626" s="15"/>
      <c r="W626" s="15"/>
      <c r="X626" s="15"/>
      <c r="Y626" s="15"/>
      <c r="Z626" s="15"/>
      <c r="AA626" s="15"/>
    </row>
    <row r="627" spans="2:27" s="13" customFormat="1">
      <c r="B627" s="12"/>
      <c r="L627" s="14"/>
      <c r="M627" s="14"/>
      <c r="N627" s="14"/>
      <c r="O627" s="15"/>
      <c r="P627" s="15"/>
      <c r="Q627" s="15"/>
      <c r="R627" s="15"/>
      <c r="S627" s="15"/>
      <c r="T627" s="15"/>
      <c r="U627" s="15"/>
      <c r="V627" s="15"/>
      <c r="W627" s="15"/>
      <c r="X627" s="15"/>
      <c r="Y627" s="15"/>
      <c r="Z627" s="15"/>
      <c r="AA627" s="15"/>
    </row>
    <row r="628" spans="2:27" s="13" customFormat="1">
      <c r="B628" s="12"/>
      <c r="L628" s="14"/>
      <c r="M628" s="14"/>
      <c r="N628" s="14"/>
      <c r="O628" s="15"/>
      <c r="P628" s="15"/>
      <c r="Q628" s="15"/>
      <c r="R628" s="15"/>
      <c r="S628" s="15"/>
      <c r="T628" s="15"/>
      <c r="U628" s="15"/>
      <c r="V628" s="15"/>
      <c r="W628" s="15"/>
      <c r="X628" s="15"/>
      <c r="Y628" s="15"/>
      <c r="Z628" s="15"/>
      <c r="AA628" s="15"/>
    </row>
    <row r="629" spans="2:27" s="13" customFormat="1">
      <c r="B629" s="12"/>
      <c r="L629" s="14"/>
      <c r="M629" s="14"/>
      <c r="N629" s="14"/>
      <c r="O629" s="15"/>
      <c r="P629" s="15"/>
      <c r="Q629" s="15"/>
      <c r="R629" s="15"/>
      <c r="S629" s="15"/>
      <c r="T629" s="15"/>
      <c r="U629" s="15"/>
      <c r="V629" s="15"/>
      <c r="W629" s="15"/>
      <c r="X629" s="15"/>
      <c r="Y629" s="15"/>
      <c r="Z629" s="15"/>
      <c r="AA629" s="15"/>
    </row>
    <row r="630" spans="2:27" s="13" customFormat="1">
      <c r="B630" s="12"/>
      <c r="L630" s="14"/>
      <c r="M630" s="14"/>
      <c r="N630" s="14"/>
      <c r="O630" s="15"/>
      <c r="P630" s="15"/>
      <c r="Q630" s="15"/>
      <c r="R630" s="15"/>
      <c r="S630" s="15"/>
      <c r="T630" s="15"/>
      <c r="U630" s="15"/>
      <c r="V630" s="15"/>
      <c r="W630" s="15"/>
      <c r="X630" s="15"/>
      <c r="Y630" s="15"/>
      <c r="Z630" s="15"/>
      <c r="AA630" s="15"/>
    </row>
    <row r="631" spans="2:27" s="13" customFormat="1">
      <c r="B631" s="12"/>
      <c r="L631" s="14"/>
      <c r="M631" s="14"/>
      <c r="N631" s="14"/>
      <c r="O631" s="15"/>
      <c r="P631" s="15"/>
      <c r="Q631" s="15"/>
      <c r="R631" s="15"/>
      <c r="S631" s="15"/>
      <c r="T631" s="15"/>
      <c r="U631" s="15"/>
      <c r="V631" s="15"/>
      <c r="W631" s="15"/>
      <c r="X631" s="15"/>
      <c r="Y631" s="15"/>
      <c r="Z631" s="15"/>
      <c r="AA631" s="15"/>
    </row>
    <row r="632" spans="2:27" s="13" customFormat="1">
      <c r="B632" s="12"/>
      <c r="L632" s="14"/>
      <c r="M632" s="14"/>
      <c r="N632" s="14"/>
      <c r="O632" s="15"/>
      <c r="P632" s="15"/>
      <c r="Q632" s="15"/>
      <c r="R632" s="15"/>
      <c r="S632" s="15"/>
      <c r="T632" s="15"/>
      <c r="U632" s="15"/>
      <c r="V632" s="15"/>
      <c r="W632" s="15"/>
      <c r="X632" s="15"/>
      <c r="Y632" s="15"/>
      <c r="Z632" s="15"/>
      <c r="AA632" s="15"/>
    </row>
    <row r="633" spans="2:27" s="13" customFormat="1">
      <c r="B633" s="12"/>
      <c r="L633" s="14"/>
      <c r="M633" s="14"/>
      <c r="N633" s="14"/>
      <c r="O633" s="15"/>
      <c r="P633" s="15"/>
      <c r="Q633" s="15"/>
      <c r="R633" s="15"/>
      <c r="S633" s="15"/>
      <c r="T633" s="15"/>
      <c r="U633" s="15"/>
      <c r="V633" s="15"/>
      <c r="W633" s="15"/>
      <c r="X633" s="15"/>
      <c r="Y633" s="15"/>
      <c r="Z633" s="15"/>
      <c r="AA633" s="15"/>
    </row>
    <row r="634" spans="2:27" s="13" customFormat="1">
      <c r="B634" s="12"/>
      <c r="L634" s="14"/>
      <c r="M634" s="14"/>
      <c r="N634" s="14"/>
      <c r="O634" s="15"/>
      <c r="P634" s="15"/>
      <c r="Q634" s="15"/>
      <c r="R634" s="15"/>
      <c r="S634" s="15"/>
      <c r="T634" s="15"/>
      <c r="U634" s="15"/>
      <c r="V634" s="15"/>
      <c r="W634" s="15"/>
      <c r="X634" s="15"/>
      <c r="Y634" s="15"/>
      <c r="Z634" s="15"/>
      <c r="AA634" s="15"/>
    </row>
    <row r="635" spans="2:27" s="13" customFormat="1">
      <c r="B635" s="12"/>
      <c r="L635" s="14"/>
      <c r="M635" s="14"/>
      <c r="N635" s="14"/>
      <c r="O635" s="15"/>
      <c r="P635" s="15"/>
      <c r="Q635" s="15"/>
      <c r="R635" s="15"/>
      <c r="S635" s="15"/>
      <c r="T635" s="15"/>
      <c r="U635" s="15"/>
      <c r="V635" s="15"/>
      <c r="W635" s="15"/>
      <c r="X635" s="15"/>
      <c r="Y635" s="15"/>
      <c r="Z635" s="15"/>
      <c r="AA635" s="15"/>
    </row>
    <row r="636" spans="2:27" s="13" customFormat="1">
      <c r="B636" s="12"/>
      <c r="L636" s="14"/>
      <c r="M636" s="14"/>
      <c r="N636" s="14"/>
      <c r="O636" s="15"/>
      <c r="P636" s="15"/>
      <c r="Q636" s="15"/>
      <c r="R636" s="15"/>
      <c r="S636" s="15"/>
      <c r="T636" s="15"/>
      <c r="U636" s="15"/>
      <c r="V636" s="15"/>
      <c r="W636" s="15"/>
      <c r="X636" s="15"/>
      <c r="Y636" s="15"/>
      <c r="Z636" s="15"/>
      <c r="AA636" s="15"/>
    </row>
    <row r="637" spans="2:27" s="13" customFormat="1">
      <c r="B637" s="12"/>
      <c r="L637" s="14"/>
      <c r="M637" s="14"/>
      <c r="N637" s="14"/>
      <c r="O637" s="15"/>
      <c r="P637" s="15"/>
      <c r="Q637" s="15"/>
      <c r="R637" s="15"/>
      <c r="S637" s="15"/>
      <c r="T637" s="15"/>
      <c r="U637" s="15"/>
      <c r="V637" s="15"/>
      <c r="W637" s="15"/>
      <c r="X637" s="15"/>
      <c r="Y637" s="15"/>
      <c r="Z637" s="15"/>
      <c r="AA637" s="15"/>
    </row>
    <row r="638" spans="2:27" s="13" customFormat="1">
      <c r="B638" s="12"/>
      <c r="L638" s="14"/>
      <c r="M638" s="14"/>
      <c r="N638" s="14"/>
      <c r="O638" s="15"/>
      <c r="P638" s="15"/>
      <c r="Q638" s="15"/>
      <c r="R638" s="15"/>
      <c r="S638" s="15"/>
      <c r="T638" s="15"/>
      <c r="U638" s="15"/>
      <c r="V638" s="15"/>
      <c r="W638" s="15"/>
      <c r="X638" s="15"/>
      <c r="Y638" s="15"/>
      <c r="Z638" s="15"/>
      <c r="AA638" s="15"/>
    </row>
    <row r="639" spans="2:27" s="13" customFormat="1">
      <c r="B639" s="12"/>
      <c r="L639" s="14"/>
      <c r="M639" s="14"/>
      <c r="N639" s="14"/>
      <c r="O639" s="15"/>
      <c r="P639" s="15"/>
      <c r="Q639" s="15"/>
      <c r="R639" s="15"/>
      <c r="S639" s="15"/>
      <c r="T639" s="15"/>
      <c r="U639" s="15"/>
      <c r="V639" s="15"/>
      <c r="W639" s="15"/>
      <c r="X639" s="15"/>
      <c r="Y639" s="15"/>
      <c r="Z639" s="15"/>
      <c r="AA639" s="15"/>
    </row>
    <row r="640" spans="2:27" s="13" customFormat="1">
      <c r="B640" s="12"/>
      <c r="L640" s="14"/>
      <c r="M640" s="14"/>
      <c r="N640" s="14"/>
      <c r="O640" s="15"/>
      <c r="P640" s="15"/>
      <c r="Q640" s="15"/>
      <c r="R640" s="15"/>
      <c r="S640" s="15"/>
      <c r="T640" s="15"/>
      <c r="U640" s="15"/>
      <c r="V640" s="15"/>
      <c r="W640" s="15"/>
      <c r="X640" s="15"/>
      <c r="Y640" s="15"/>
      <c r="Z640" s="15"/>
      <c r="AA640" s="15"/>
    </row>
    <row r="641" spans="2:27" s="13" customFormat="1">
      <c r="B641" s="12"/>
      <c r="L641" s="14"/>
      <c r="M641" s="14"/>
      <c r="N641" s="14"/>
      <c r="O641" s="15"/>
      <c r="P641" s="15"/>
      <c r="Q641" s="15"/>
      <c r="R641" s="15"/>
      <c r="S641" s="15"/>
      <c r="T641" s="15"/>
      <c r="U641" s="15"/>
      <c r="V641" s="15"/>
      <c r="W641" s="15"/>
      <c r="X641" s="15"/>
      <c r="Y641" s="15"/>
      <c r="Z641" s="15"/>
      <c r="AA641" s="15"/>
    </row>
    <row r="642" spans="2:27" s="13" customFormat="1">
      <c r="B642" s="12"/>
      <c r="L642" s="14"/>
      <c r="M642" s="14"/>
      <c r="N642" s="14"/>
      <c r="O642" s="15"/>
      <c r="P642" s="15"/>
      <c r="Q642" s="15"/>
      <c r="R642" s="15"/>
      <c r="S642" s="15"/>
      <c r="T642" s="15"/>
      <c r="U642" s="15"/>
      <c r="V642" s="15"/>
      <c r="W642" s="15"/>
      <c r="X642" s="15"/>
      <c r="Y642" s="15"/>
      <c r="Z642" s="15"/>
      <c r="AA642" s="15"/>
    </row>
    <row r="643" spans="2:27" s="13" customFormat="1">
      <c r="B643" s="12"/>
      <c r="L643" s="14"/>
      <c r="M643" s="14"/>
      <c r="N643" s="14"/>
      <c r="O643" s="15"/>
      <c r="P643" s="15"/>
      <c r="Q643" s="15"/>
      <c r="R643" s="15"/>
      <c r="S643" s="15"/>
      <c r="T643" s="15"/>
      <c r="U643" s="15"/>
      <c r="V643" s="15"/>
      <c r="W643" s="15"/>
      <c r="X643" s="15"/>
      <c r="Y643" s="15"/>
      <c r="Z643" s="15"/>
      <c r="AA643" s="15"/>
    </row>
    <row r="644" spans="2:27" s="13" customFormat="1">
      <c r="B644" s="12"/>
      <c r="L644" s="14"/>
      <c r="M644" s="14"/>
      <c r="N644" s="14"/>
      <c r="O644" s="15"/>
      <c r="P644" s="15"/>
      <c r="Q644" s="15"/>
      <c r="R644" s="15"/>
      <c r="S644" s="15"/>
      <c r="T644" s="15"/>
      <c r="U644" s="15"/>
      <c r="V644" s="15"/>
      <c r="W644" s="15"/>
      <c r="X644" s="15"/>
      <c r="Y644" s="15"/>
      <c r="Z644" s="15"/>
      <c r="AA644" s="15"/>
    </row>
    <row r="645" spans="2:27" s="13" customFormat="1">
      <c r="B645" s="12"/>
      <c r="L645" s="14"/>
      <c r="M645" s="14"/>
      <c r="N645" s="14"/>
      <c r="O645" s="15"/>
      <c r="P645" s="15"/>
      <c r="Q645" s="15"/>
      <c r="R645" s="15"/>
      <c r="S645" s="15"/>
      <c r="T645" s="15"/>
      <c r="U645" s="15"/>
      <c r="V645" s="15"/>
      <c r="W645" s="15"/>
      <c r="X645" s="15"/>
      <c r="Y645" s="15"/>
      <c r="Z645" s="15"/>
      <c r="AA645" s="15"/>
    </row>
    <row r="646" spans="2:27" s="13" customFormat="1">
      <c r="B646" s="12"/>
      <c r="L646" s="14"/>
      <c r="M646" s="14"/>
      <c r="N646" s="14"/>
      <c r="O646" s="15"/>
      <c r="P646" s="15"/>
      <c r="Q646" s="15"/>
      <c r="R646" s="15"/>
      <c r="S646" s="15"/>
      <c r="T646" s="15"/>
      <c r="U646" s="15"/>
      <c r="V646" s="15"/>
      <c r="W646" s="15"/>
      <c r="X646" s="15"/>
      <c r="Y646" s="15"/>
      <c r="Z646" s="15"/>
      <c r="AA646" s="15"/>
    </row>
    <row r="647" spans="2:27" s="13" customFormat="1">
      <c r="B647" s="12"/>
      <c r="L647" s="14"/>
      <c r="M647" s="14"/>
      <c r="N647" s="14"/>
      <c r="O647" s="15"/>
      <c r="P647" s="15"/>
      <c r="Q647" s="15"/>
      <c r="R647" s="15"/>
      <c r="S647" s="15"/>
      <c r="T647" s="15"/>
      <c r="U647" s="15"/>
      <c r="V647" s="15"/>
      <c r="W647" s="15"/>
      <c r="X647" s="15"/>
      <c r="Y647" s="15"/>
      <c r="Z647" s="15"/>
      <c r="AA647" s="15"/>
    </row>
    <row r="648" spans="2:27" s="13" customFormat="1">
      <c r="B648" s="12"/>
      <c r="L648" s="14"/>
      <c r="M648" s="14"/>
      <c r="N648" s="14"/>
      <c r="O648" s="15"/>
      <c r="P648" s="15"/>
      <c r="Q648" s="15"/>
      <c r="R648" s="15"/>
      <c r="S648" s="15"/>
      <c r="T648" s="15"/>
      <c r="U648" s="15"/>
      <c r="V648" s="15"/>
      <c r="W648" s="15"/>
      <c r="X648" s="15"/>
      <c r="Y648" s="15"/>
      <c r="Z648" s="15"/>
      <c r="AA648" s="15"/>
    </row>
    <row r="649" spans="2:27" s="13" customFormat="1">
      <c r="B649" s="12"/>
      <c r="L649" s="14"/>
      <c r="M649" s="14"/>
      <c r="N649" s="14"/>
      <c r="O649" s="15"/>
      <c r="P649" s="15"/>
      <c r="Q649" s="15"/>
      <c r="R649" s="15"/>
      <c r="S649" s="15"/>
      <c r="T649" s="15"/>
      <c r="U649" s="15"/>
      <c r="V649" s="15"/>
      <c r="W649" s="15"/>
      <c r="X649" s="15"/>
      <c r="Y649" s="15"/>
      <c r="Z649" s="15"/>
      <c r="AA649" s="15"/>
    </row>
    <row r="650" spans="2:27" s="13" customFormat="1">
      <c r="B650" s="12"/>
      <c r="L650" s="14"/>
      <c r="M650" s="14"/>
      <c r="N650" s="14"/>
      <c r="O650" s="15"/>
      <c r="P650" s="15"/>
      <c r="Q650" s="15"/>
      <c r="R650" s="15"/>
      <c r="S650" s="15"/>
      <c r="T650" s="15"/>
      <c r="U650" s="15"/>
      <c r="V650" s="15"/>
      <c r="W650" s="15"/>
      <c r="X650" s="15"/>
      <c r="Y650" s="15"/>
      <c r="Z650" s="15"/>
      <c r="AA650" s="15"/>
    </row>
    <row r="651" spans="2:27" s="13" customFormat="1">
      <c r="B651" s="12"/>
      <c r="L651" s="14"/>
      <c r="M651" s="14"/>
      <c r="N651" s="14"/>
      <c r="O651" s="15"/>
      <c r="P651" s="15"/>
      <c r="Q651" s="15"/>
      <c r="R651" s="15"/>
      <c r="S651" s="15"/>
      <c r="T651" s="15"/>
      <c r="U651" s="15"/>
      <c r="V651" s="15"/>
      <c r="W651" s="15"/>
      <c r="X651" s="15"/>
      <c r="Y651" s="15"/>
      <c r="Z651" s="15"/>
      <c r="AA651" s="15"/>
    </row>
    <row r="652" spans="2:27" s="13" customFormat="1">
      <c r="B652" s="12"/>
      <c r="L652" s="14"/>
      <c r="M652" s="14"/>
      <c r="N652" s="14"/>
      <c r="O652" s="15"/>
      <c r="P652" s="15"/>
      <c r="Q652" s="15"/>
      <c r="R652" s="15"/>
      <c r="S652" s="15"/>
      <c r="T652" s="15"/>
      <c r="U652" s="15"/>
      <c r="V652" s="15"/>
      <c r="W652" s="15"/>
      <c r="X652" s="15"/>
      <c r="Y652" s="15"/>
      <c r="Z652" s="15"/>
      <c r="AA652" s="15"/>
    </row>
    <row r="653" spans="2:27" s="13" customFormat="1">
      <c r="B653" s="12"/>
      <c r="L653" s="14"/>
      <c r="M653" s="14"/>
      <c r="N653" s="14"/>
      <c r="O653" s="15"/>
      <c r="P653" s="15"/>
      <c r="Q653" s="15"/>
      <c r="R653" s="15"/>
      <c r="S653" s="15"/>
      <c r="T653" s="15"/>
      <c r="U653" s="15"/>
      <c r="V653" s="15"/>
      <c r="W653" s="15"/>
      <c r="X653" s="15"/>
      <c r="Y653" s="15"/>
      <c r="Z653" s="15"/>
      <c r="AA653" s="15"/>
    </row>
    <row r="654" spans="2:27" s="13" customFormat="1">
      <c r="B654" s="12"/>
      <c r="L654" s="14"/>
      <c r="M654" s="14"/>
      <c r="N654" s="14"/>
      <c r="O654" s="15"/>
      <c r="P654" s="15"/>
      <c r="Q654" s="15"/>
      <c r="R654" s="15"/>
      <c r="S654" s="15"/>
      <c r="T654" s="15"/>
      <c r="U654" s="15"/>
      <c r="V654" s="15"/>
      <c r="W654" s="15"/>
      <c r="X654" s="15"/>
      <c r="Y654" s="15"/>
      <c r="Z654" s="15"/>
      <c r="AA654" s="15"/>
    </row>
    <row r="655" spans="2:27" s="13" customFormat="1">
      <c r="B655" s="12"/>
      <c r="L655" s="14"/>
      <c r="M655" s="14"/>
      <c r="N655" s="14"/>
      <c r="O655" s="15"/>
      <c r="P655" s="15"/>
      <c r="Q655" s="15"/>
      <c r="R655" s="15"/>
      <c r="S655" s="15"/>
      <c r="T655" s="15"/>
      <c r="U655" s="15"/>
      <c r="V655" s="15"/>
      <c r="W655" s="15"/>
      <c r="X655" s="15"/>
      <c r="Y655" s="15"/>
      <c r="Z655" s="15"/>
      <c r="AA655" s="15"/>
    </row>
    <row r="656" spans="2:27" s="13" customFormat="1">
      <c r="B656" s="12"/>
      <c r="L656" s="14"/>
      <c r="M656" s="14"/>
      <c r="N656" s="14"/>
      <c r="O656" s="15"/>
      <c r="P656" s="15"/>
      <c r="Q656" s="15"/>
      <c r="R656" s="15"/>
      <c r="S656" s="15"/>
      <c r="T656" s="15"/>
      <c r="U656" s="15"/>
      <c r="V656" s="15"/>
      <c r="W656" s="15"/>
      <c r="X656" s="15"/>
      <c r="Y656" s="15"/>
      <c r="Z656" s="15"/>
      <c r="AA656" s="15"/>
    </row>
    <row r="657" spans="2:27" s="13" customFormat="1">
      <c r="B657" s="12"/>
      <c r="L657" s="14"/>
      <c r="M657" s="14"/>
      <c r="N657" s="14"/>
      <c r="O657" s="15"/>
      <c r="P657" s="15"/>
      <c r="Q657" s="15"/>
      <c r="R657" s="15"/>
      <c r="S657" s="15"/>
      <c r="T657" s="15"/>
      <c r="U657" s="15"/>
      <c r="V657" s="15"/>
      <c r="W657" s="15"/>
      <c r="X657" s="15"/>
      <c r="Y657" s="15"/>
      <c r="Z657" s="15"/>
      <c r="AA657" s="15"/>
    </row>
    <row r="658" spans="2:27" s="13" customFormat="1">
      <c r="B658" s="12"/>
      <c r="L658" s="14"/>
      <c r="M658" s="14"/>
      <c r="N658" s="14"/>
      <c r="O658" s="15"/>
      <c r="P658" s="15"/>
      <c r="Q658" s="15"/>
      <c r="R658" s="15"/>
      <c r="S658" s="15"/>
      <c r="T658" s="15"/>
      <c r="U658" s="15"/>
      <c r="V658" s="15"/>
      <c r="W658" s="15"/>
      <c r="X658" s="15"/>
      <c r="Y658" s="15"/>
      <c r="Z658" s="15"/>
      <c r="AA658" s="15"/>
    </row>
    <row r="659" spans="2:27" s="13" customFormat="1">
      <c r="B659" s="12"/>
      <c r="L659" s="14"/>
      <c r="M659" s="14"/>
      <c r="N659" s="14"/>
      <c r="O659" s="15"/>
      <c r="P659" s="15"/>
      <c r="Q659" s="15"/>
      <c r="R659" s="15"/>
      <c r="S659" s="15"/>
      <c r="T659" s="15"/>
      <c r="U659" s="15"/>
      <c r="V659" s="15"/>
      <c r="W659" s="15"/>
      <c r="X659" s="15"/>
      <c r="Y659" s="15"/>
      <c r="Z659" s="15"/>
      <c r="AA659" s="15"/>
    </row>
    <row r="660" spans="2:27" s="13" customFormat="1">
      <c r="B660" s="12"/>
      <c r="L660" s="14"/>
      <c r="M660" s="14"/>
      <c r="N660" s="14"/>
      <c r="O660" s="15"/>
      <c r="P660" s="15"/>
      <c r="Q660" s="15"/>
      <c r="R660" s="15"/>
      <c r="S660" s="15"/>
      <c r="T660" s="15"/>
      <c r="U660" s="15"/>
      <c r="V660" s="15"/>
      <c r="W660" s="15"/>
      <c r="X660" s="15"/>
      <c r="Y660" s="15"/>
      <c r="Z660" s="15"/>
      <c r="AA660" s="15"/>
    </row>
    <row r="661" spans="2:27" s="13" customFormat="1">
      <c r="B661" s="12"/>
      <c r="L661" s="14"/>
      <c r="M661" s="14"/>
      <c r="N661" s="14"/>
      <c r="O661" s="15"/>
      <c r="P661" s="15"/>
      <c r="Q661" s="15"/>
      <c r="R661" s="15"/>
      <c r="S661" s="15"/>
      <c r="T661" s="15"/>
      <c r="U661" s="15"/>
      <c r="V661" s="15"/>
      <c r="W661" s="15"/>
      <c r="X661" s="15"/>
      <c r="Y661" s="15"/>
      <c r="Z661" s="15"/>
      <c r="AA661" s="15"/>
    </row>
    <row r="662" spans="2:27" s="13" customFormat="1">
      <c r="B662" s="12"/>
      <c r="L662" s="14"/>
      <c r="M662" s="14"/>
      <c r="N662" s="14"/>
      <c r="O662" s="15"/>
      <c r="P662" s="15"/>
      <c r="Q662" s="15"/>
      <c r="R662" s="15"/>
      <c r="S662" s="15"/>
      <c r="T662" s="15"/>
      <c r="U662" s="15"/>
      <c r="V662" s="15"/>
      <c r="W662" s="15"/>
      <c r="X662" s="15"/>
      <c r="Y662" s="15"/>
      <c r="Z662" s="15"/>
      <c r="AA662" s="15"/>
    </row>
    <row r="663" spans="2:27" s="13" customFormat="1">
      <c r="B663" s="12"/>
      <c r="L663" s="14"/>
      <c r="M663" s="14"/>
      <c r="N663" s="14"/>
      <c r="O663" s="15"/>
      <c r="P663" s="15"/>
      <c r="Q663" s="15"/>
      <c r="R663" s="15"/>
      <c r="S663" s="15"/>
      <c r="T663" s="15"/>
      <c r="U663" s="15"/>
      <c r="V663" s="15"/>
      <c r="W663" s="15"/>
      <c r="X663" s="15"/>
      <c r="Y663" s="15"/>
      <c r="Z663" s="15"/>
      <c r="AA663" s="15"/>
    </row>
    <row r="664" spans="2:27" s="13" customFormat="1">
      <c r="B664" s="12"/>
      <c r="L664" s="14"/>
      <c r="M664" s="14"/>
      <c r="N664" s="14"/>
      <c r="O664" s="15"/>
      <c r="P664" s="15"/>
      <c r="Q664" s="15"/>
      <c r="R664" s="15"/>
      <c r="S664" s="15"/>
      <c r="T664" s="15"/>
      <c r="U664" s="15"/>
      <c r="V664" s="15"/>
      <c r="W664" s="15"/>
      <c r="X664" s="15"/>
      <c r="Y664" s="15"/>
      <c r="Z664" s="15"/>
      <c r="AA664" s="15"/>
    </row>
    <row r="665" spans="2:27" s="13" customFormat="1">
      <c r="B665" s="12"/>
      <c r="L665" s="14"/>
      <c r="M665" s="14"/>
      <c r="N665" s="14"/>
      <c r="O665" s="15"/>
      <c r="P665" s="15"/>
      <c r="Q665" s="15"/>
      <c r="R665" s="15"/>
      <c r="S665" s="15"/>
      <c r="T665" s="15"/>
      <c r="U665" s="15"/>
      <c r="V665" s="15"/>
      <c r="W665" s="15"/>
      <c r="X665" s="15"/>
      <c r="Y665" s="15"/>
      <c r="Z665" s="15"/>
      <c r="AA665" s="15"/>
    </row>
    <row r="666" spans="2:27" s="13" customFormat="1">
      <c r="B666" s="12"/>
      <c r="L666" s="14"/>
      <c r="M666" s="14"/>
      <c r="N666" s="14"/>
      <c r="O666" s="15"/>
      <c r="P666" s="15"/>
      <c r="Q666" s="15"/>
      <c r="R666" s="15"/>
      <c r="S666" s="15"/>
      <c r="T666" s="15"/>
      <c r="U666" s="15"/>
      <c r="V666" s="15"/>
      <c r="W666" s="15"/>
      <c r="X666" s="15"/>
      <c r="Y666" s="15"/>
      <c r="Z666" s="15"/>
      <c r="AA666" s="15"/>
    </row>
    <row r="667" spans="2:27" s="13" customFormat="1">
      <c r="B667" s="12"/>
      <c r="L667" s="14"/>
      <c r="M667" s="14"/>
      <c r="N667" s="14"/>
      <c r="O667" s="15"/>
      <c r="P667" s="15"/>
      <c r="Q667" s="15"/>
      <c r="R667" s="15"/>
      <c r="S667" s="15"/>
      <c r="T667" s="15"/>
      <c r="U667" s="15"/>
      <c r="V667" s="15"/>
      <c r="W667" s="15"/>
      <c r="X667" s="15"/>
      <c r="Y667" s="15"/>
      <c r="Z667" s="15"/>
      <c r="AA667" s="15"/>
    </row>
    <row r="668" spans="2:27" s="13" customFormat="1">
      <c r="B668" s="12"/>
      <c r="L668" s="14"/>
      <c r="M668" s="14"/>
      <c r="N668" s="14"/>
      <c r="O668" s="15"/>
      <c r="P668" s="15"/>
      <c r="Q668" s="15"/>
      <c r="R668" s="15"/>
      <c r="S668" s="15"/>
      <c r="T668" s="15"/>
      <c r="U668" s="15"/>
      <c r="V668" s="15"/>
      <c r="W668" s="15"/>
      <c r="X668" s="15"/>
      <c r="Y668" s="15"/>
      <c r="Z668" s="15"/>
      <c r="AA668" s="15"/>
    </row>
    <row r="669" spans="2:27" s="13" customFormat="1">
      <c r="B669" s="12"/>
      <c r="L669" s="14"/>
      <c r="M669" s="14"/>
      <c r="N669" s="14"/>
      <c r="O669" s="15"/>
      <c r="P669" s="15"/>
      <c r="Q669" s="15"/>
      <c r="R669" s="15"/>
      <c r="S669" s="15"/>
      <c r="T669" s="15"/>
      <c r="U669" s="15"/>
      <c r="V669" s="15"/>
      <c r="W669" s="15"/>
      <c r="X669" s="15"/>
      <c r="Y669" s="15"/>
      <c r="Z669" s="15"/>
      <c r="AA669" s="15"/>
    </row>
    <row r="670" spans="2:27" s="13" customFormat="1">
      <c r="B670" s="12"/>
      <c r="L670" s="14"/>
      <c r="M670" s="14"/>
      <c r="N670" s="14"/>
      <c r="O670" s="15"/>
      <c r="P670" s="15"/>
      <c r="Q670" s="15"/>
      <c r="R670" s="15"/>
      <c r="S670" s="15"/>
      <c r="T670" s="15"/>
      <c r="U670" s="15"/>
      <c r="V670" s="15"/>
      <c r="W670" s="15"/>
      <c r="X670" s="15"/>
      <c r="Y670" s="15"/>
      <c r="Z670" s="15"/>
      <c r="AA670" s="15"/>
    </row>
    <row r="671" spans="2:27" s="13" customFormat="1">
      <c r="B671" s="12"/>
      <c r="L671" s="14"/>
      <c r="M671" s="14"/>
      <c r="N671" s="14"/>
      <c r="O671" s="15"/>
      <c r="P671" s="15"/>
      <c r="Q671" s="15"/>
      <c r="R671" s="15"/>
      <c r="S671" s="15"/>
      <c r="T671" s="15"/>
      <c r="U671" s="15"/>
      <c r="V671" s="15"/>
      <c r="W671" s="15"/>
      <c r="X671" s="15"/>
      <c r="Y671" s="15"/>
      <c r="Z671" s="15"/>
      <c r="AA671" s="15"/>
    </row>
    <row r="672" spans="2:27" s="13" customFormat="1">
      <c r="B672" s="12"/>
      <c r="L672" s="14"/>
      <c r="M672" s="14"/>
      <c r="N672" s="14"/>
      <c r="O672" s="15"/>
      <c r="P672" s="15"/>
      <c r="Q672" s="15"/>
      <c r="R672" s="15"/>
      <c r="S672" s="15"/>
      <c r="T672" s="15"/>
      <c r="U672" s="15"/>
      <c r="V672" s="15"/>
      <c r="W672" s="15"/>
      <c r="X672" s="15"/>
      <c r="Y672" s="15"/>
      <c r="Z672" s="15"/>
      <c r="AA672" s="15"/>
    </row>
    <row r="673" spans="2:27" s="13" customFormat="1">
      <c r="B673" s="12"/>
      <c r="L673" s="14"/>
      <c r="M673" s="14"/>
      <c r="N673" s="14"/>
      <c r="O673" s="15"/>
      <c r="P673" s="15"/>
      <c r="Q673" s="15"/>
      <c r="R673" s="15"/>
      <c r="S673" s="15"/>
      <c r="T673" s="15"/>
      <c r="U673" s="15"/>
      <c r="V673" s="15"/>
      <c r="W673" s="15"/>
      <c r="X673" s="15"/>
      <c r="Y673" s="15"/>
      <c r="Z673" s="15"/>
      <c r="AA673" s="15"/>
    </row>
    <row r="674" spans="2:27" s="13" customFormat="1">
      <c r="B674" s="12"/>
      <c r="L674" s="14"/>
      <c r="M674" s="14"/>
      <c r="N674" s="14"/>
      <c r="O674" s="15"/>
      <c r="P674" s="15"/>
      <c r="Q674" s="15"/>
      <c r="R674" s="15"/>
      <c r="S674" s="15"/>
      <c r="T674" s="15"/>
      <c r="U674" s="15"/>
      <c r="V674" s="15"/>
      <c r="W674" s="15"/>
      <c r="X674" s="15"/>
      <c r="Y674" s="15"/>
      <c r="Z674" s="15"/>
      <c r="AA674" s="15"/>
    </row>
    <row r="675" spans="2:27" s="13" customFormat="1">
      <c r="B675" s="12"/>
      <c r="L675" s="14"/>
      <c r="M675" s="14"/>
      <c r="N675" s="14"/>
      <c r="O675" s="15"/>
      <c r="P675" s="15"/>
      <c r="Q675" s="15"/>
      <c r="R675" s="15"/>
      <c r="S675" s="15"/>
      <c r="T675" s="15"/>
      <c r="U675" s="15"/>
      <c r="V675" s="15"/>
      <c r="W675" s="15"/>
      <c r="X675" s="15"/>
      <c r="Y675" s="15"/>
      <c r="Z675" s="15"/>
      <c r="AA675" s="15"/>
    </row>
    <row r="676" spans="2:27" s="13" customFormat="1">
      <c r="B676" s="12"/>
      <c r="L676" s="14"/>
      <c r="M676" s="14"/>
      <c r="N676" s="14"/>
      <c r="O676" s="15"/>
      <c r="P676" s="15"/>
      <c r="Q676" s="15"/>
      <c r="R676" s="15"/>
      <c r="S676" s="15"/>
      <c r="T676" s="15"/>
      <c r="U676" s="15"/>
      <c r="V676" s="15"/>
      <c r="W676" s="15"/>
      <c r="X676" s="15"/>
      <c r="Y676" s="15"/>
      <c r="Z676" s="15"/>
      <c r="AA676" s="15"/>
    </row>
    <row r="677" spans="2:27" s="13" customFormat="1">
      <c r="B677" s="12"/>
      <c r="L677" s="14"/>
      <c r="M677" s="14"/>
      <c r="N677" s="14"/>
      <c r="O677" s="15"/>
      <c r="P677" s="15"/>
      <c r="Q677" s="15"/>
      <c r="R677" s="15"/>
      <c r="S677" s="15"/>
      <c r="T677" s="15"/>
      <c r="U677" s="15"/>
      <c r="V677" s="15"/>
      <c r="W677" s="15"/>
      <c r="X677" s="15"/>
      <c r="Y677" s="15"/>
      <c r="Z677" s="15"/>
      <c r="AA677" s="15"/>
    </row>
    <row r="678" spans="2:27" s="13" customFormat="1">
      <c r="B678" s="12"/>
      <c r="L678" s="14"/>
      <c r="M678" s="14"/>
      <c r="N678" s="14"/>
      <c r="O678" s="15"/>
      <c r="P678" s="15"/>
      <c r="Q678" s="15"/>
      <c r="R678" s="15"/>
      <c r="S678" s="15"/>
      <c r="T678" s="15"/>
      <c r="U678" s="15"/>
      <c r="V678" s="15"/>
      <c r="W678" s="15"/>
      <c r="X678" s="15"/>
      <c r="Y678" s="15"/>
      <c r="Z678" s="15"/>
      <c r="AA678" s="15"/>
    </row>
    <row r="679" spans="2:27" s="13" customFormat="1">
      <c r="B679" s="12"/>
      <c r="L679" s="14"/>
      <c r="M679" s="14"/>
      <c r="N679" s="14"/>
      <c r="O679" s="15"/>
      <c r="P679" s="15"/>
      <c r="Q679" s="15"/>
      <c r="R679" s="15"/>
      <c r="S679" s="15"/>
      <c r="T679" s="15"/>
      <c r="U679" s="15"/>
      <c r="V679" s="15"/>
      <c r="W679" s="15"/>
      <c r="X679" s="15"/>
      <c r="Y679" s="15"/>
      <c r="Z679" s="15"/>
      <c r="AA679" s="15"/>
    </row>
    <row r="680" spans="2:27" s="13" customFormat="1">
      <c r="B680" s="12"/>
      <c r="L680" s="14"/>
      <c r="M680" s="14"/>
      <c r="N680" s="14"/>
      <c r="O680" s="15"/>
      <c r="P680" s="15"/>
      <c r="Q680" s="15"/>
      <c r="R680" s="15"/>
      <c r="S680" s="15"/>
      <c r="T680" s="15"/>
      <c r="U680" s="15"/>
      <c r="V680" s="15"/>
      <c r="W680" s="15"/>
      <c r="X680" s="15"/>
      <c r="Y680" s="15"/>
      <c r="Z680" s="15"/>
      <c r="AA680" s="15"/>
    </row>
    <row r="681" spans="2:27" s="13" customFormat="1">
      <c r="B681" s="12"/>
      <c r="L681" s="14"/>
      <c r="M681" s="14"/>
      <c r="N681" s="14"/>
      <c r="O681" s="15"/>
      <c r="P681" s="15"/>
      <c r="Q681" s="15"/>
      <c r="R681" s="15"/>
      <c r="S681" s="15"/>
      <c r="T681" s="15"/>
      <c r="U681" s="15"/>
      <c r="V681" s="15"/>
      <c r="W681" s="15"/>
      <c r="X681" s="15"/>
      <c r="Y681" s="15"/>
      <c r="Z681" s="15"/>
      <c r="AA681" s="15"/>
    </row>
    <row r="682" spans="2:27" s="13" customFormat="1">
      <c r="B682" s="12"/>
      <c r="L682" s="14"/>
      <c r="M682" s="14"/>
      <c r="N682" s="14"/>
      <c r="O682" s="15"/>
      <c r="P682" s="15"/>
      <c r="Q682" s="15"/>
      <c r="R682" s="15"/>
      <c r="S682" s="15"/>
      <c r="T682" s="15"/>
      <c r="U682" s="15"/>
      <c r="V682" s="15"/>
      <c r="W682" s="15"/>
      <c r="X682" s="15"/>
      <c r="Y682" s="15"/>
      <c r="Z682" s="15"/>
      <c r="AA682" s="15"/>
    </row>
    <row r="683" spans="2:27" s="13" customFormat="1">
      <c r="B683" s="12"/>
      <c r="L683" s="14"/>
      <c r="M683" s="14"/>
      <c r="N683" s="14"/>
      <c r="O683" s="15"/>
      <c r="P683" s="15"/>
      <c r="Q683" s="15"/>
      <c r="R683" s="15"/>
      <c r="S683" s="15"/>
      <c r="T683" s="15"/>
      <c r="U683" s="15"/>
      <c r="V683" s="15"/>
      <c r="W683" s="15"/>
      <c r="X683" s="15"/>
      <c r="Y683" s="15"/>
      <c r="Z683" s="15"/>
      <c r="AA683" s="15"/>
    </row>
    <row r="684" spans="2:27" s="13" customFormat="1">
      <c r="B684" s="12"/>
      <c r="L684" s="14"/>
      <c r="M684" s="14"/>
      <c r="N684" s="14"/>
      <c r="O684" s="15"/>
      <c r="P684" s="15"/>
      <c r="Q684" s="15"/>
      <c r="R684" s="15"/>
      <c r="S684" s="15"/>
      <c r="T684" s="15"/>
      <c r="U684" s="15"/>
      <c r="V684" s="15"/>
      <c r="W684" s="15"/>
      <c r="X684" s="15"/>
      <c r="Y684" s="15"/>
      <c r="Z684" s="15"/>
      <c r="AA684" s="15"/>
    </row>
    <row r="685" spans="2:27" s="13" customFormat="1">
      <c r="B685" s="12"/>
      <c r="L685" s="14"/>
      <c r="M685" s="14"/>
      <c r="N685" s="14"/>
      <c r="O685" s="15"/>
      <c r="P685" s="15"/>
      <c r="Q685" s="15"/>
      <c r="R685" s="15"/>
      <c r="S685" s="15"/>
      <c r="T685" s="15"/>
      <c r="U685" s="15"/>
      <c r="V685" s="15"/>
      <c r="W685" s="15"/>
      <c r="X685" s="15"/>
      <c r="Y685" s="15"/>
      <c r="Z685" s="15"/>
      <c r="AA685" s="15"/>
    </row>
    <row r="686" spans="2:27" s="13" customFormat="1">
      <c r="B686" s="12"/>
      <c r="L686" s="14"/>
      <c r="M686" s="14"/>
      <c r="N686" s="14"/>
      <c r="O686" s="15"/>
      <c r="P686" s="15"/>
      <c r="Q686" s="15"/>
      <c r="R686" s="15"/>
      <c r="S686" s="15"/>
      <c r="T686" s="15"/>
      <c r="U686" s="15"/>
      <c r="V686" s="15"/>
      <c r="W686" s="15"/>
      <c r="X686" s="15"/>
      <c r="Y686" s="15"/>
      <c r="Z686" s="15"/>
      <c r="AA686" s="15"/>
    </row>
    <row r="687" spans="2:27" s="13" customFormat="1">
      <c r="B687" s="12"/>
      <c r="L687" s="14"/>
      <c r="M687" s="14"/>
      <c r="N687" s="14"/>
      <c r="O687" s="15"/>
      <c r="P687" s="15"/>
      <c r="Q687" s="15"/>
      <c r="R687" s="15"/>
      <c r="S687" s="15"/>
      <c r="T687" s="15"/>
      <c r="U687" s="15"/>
      <c r="V687" s="15"/>
      <c r="W687" s="15"/>
      <c r="X687" s="15"/>
      <c r="Y687" s="15"/>
      <c r="Z687" s="15"/>
      <c r="AA687" s="15"/>
    </row>
    <row r="688" spans="2:27" s="13" customFormat="1">
      <c r="B688" s="12"/>
      <c r="L688" s="14"/>
      <c r="M688" s="14"/>
      <c r="N688" s="14"/>
      <c r="O688" s="15"/>
      <c r="P688" s="15"/>
      <c r="Q688" s="15"/>
      <c r="R688" s="15"/>
      <c r="S688" s="15"/>
      <c r="T688" s="15"/>
      <c r="U688" s="15"/>
      <c r="V688" s="15"/>
      <c r="W688" s="15"/>
      <c r="X688" s="15"/>
      <c r="Y688" s="15"/>
      <c r="Z688" s="15"/>
      <c r="AA688" s="15"/>
    </row>
    <row r="689" spans="2:27" s="13" customFormat="1">
      <c r="B689" s="12"/>
      <c r="L689" s="14"/>
      <c r="M689" s="14"/>
      <c r="N689" s="14"/>
      <c r="O689" s="15"/>
      <c r="P689" s="15"/>
      <c r="Q689" s="15"/>
      <c r="R689" s="15"/>
      <c r="S689" s="15"/>
      <c r="T689" s="15"/>
      <c r="U689" s="15"/>
      <c r="V689" s="15"/>
      <c r="W689" s="15"/>
      <c r="X689" s="15"/>
      <c r="Y689" s="15"/>
      <c r="Z689" s="15"/>
      <c r="AA689" s="15"/>
    </row>
    <row r="690" spans="2:27" s="13" customFormat="1">
      <c r="B690" s="12"/>
      <c r="L690" s="14"/>
      <c r="M690" s="14"/>
      <c r="N690" s="14"/>
      <c r="O690" s="15"/>
      <c r="P690" s="15"/>
      <c r="Q690" s="15"/>
      <c r="R690" s="15"/>
      <c r="S690" s="15"/>
      <c r="T690" s="15"/>
      <c r="U690" s="15"/>
      <c r="V690" s="15"/>
      <c r="W690" s="15"/>
      <c r="X690" s="15"/>
      <c r="Y690" s="15"/>
      <c r="Z690" s="15"/>
      <c r="AA690" s="15"/>
    </row>
    <row r="691" spans="2:27" s="13" customFormat="1">
      <c r="B691" s="12"/>
      <c r="L691" s="14"/>
      <c r="M691" s="14"/>
      <c r="N691" s="14"/>
      <c r="O691" s="15"/>
      <c r="P691" s="15"/>
      <c r="Q691" s="15"/>
      <c r="R691" s="15"/>
      <c r="S691" s="15"/>
      <c r="T691" s="15"/>
      <c r="U691" s="15"/>
      <c r="V691" s="15"/>
      <c r="W691" s="15"/>
      <c r="X691" s="15"/>
      <c r="Y691" s="15"/>
      <c r="Z691" s="15"/>
      <c r="AA691" s="15"/>
    </row>
    <row r="692" spans="2:27" s="13" customFormat="1">
      <c r="B692" s="12"/>
      <c r="L692" s="14"/>
      <c r="M692" s="14"/>
      <c r="N692" s="14"/>
      <c r="O692" s="15"/>
      <c r="P692" s="15"/>
      <c r="Q692" s="15"/>
      <c r="R692" s="15"/>
      <c r="S692" s="15"/>
      <c r="T692" s="15"/>
      <c r="U692" s="15"/>
      <c r="V692" s="15"/>
      <c r="W692" s="15"/>
      <c r="X692" s="15"/>
      <c r="Y692" s="15"/>
      <c r="Z692" s="15"/>
      <c r="AA692" s="15"/>
    </row>
    <row r="693" spans="2:27" s="13" customFormat="1">
      <c r="B693" s="12"/>
      <c r="L693" s="14"/>
      <c r="M693" s="14"/>
      <c r="N693" s="14"/>
      <c r="O693" s="15"/>
      <c r="P693" s="15"/>
      <c r="Q693" s="15"/>
      <c r="R693" s="15"/>
      <c r="S693" s="15"/>
      <c r="T693" s="15"/>
      <c r="U693" s="15"/>
      <c r="V693" s="15"/>
      <c r="W693" s="15"/>
      <c r="X693" s="15"/>
      <c r="Y693" s="15"/>
      <c r="Z693" s="15"/>
      <c r="AA693" s="15"/>
    </row>
    <row r="694" spans="2:27" s="13" customFormat="1">
      <c r="B694" s="12"/>
      <c r="L694" s="14"/>
      <c r="M694" s="14"/>
      <c r="N694" s="14"/>
      <c r="O694" s="15"/>
      <c r="P694" s="15"/>
      <c r="Q694" s="15"/>
      <c r="R694" s="15"/>
      <c r="S694" s="15"/>
      <c r="T694" s="15"/>
      <c r="U694" s="15"/>
      <c r="V694" s="15"/>
      <c r="W694" s="15"/>
      <c r="X694" s="15"/>
      <c r="Y694" s="15"/>
      <c r="Z694" s="15"/>
      <c r="AA694" s="15"/>
    </row>
    <row r="695" spans="2:27" s="13" customFormat="1">
      <c r="B695" s="12"/>
      <c r="L695" s="14"/>
      <c r="M695" s="14"/>
      <c r="N695" s="14"/>
      <c r="O695" s="15"/>
      <c r="P695" s="15"/>
      <c r="Q695" s="15"/>
      <c r="R695" s="15"/>
      <c r="S695" s="15"/>
      <c r="T695" s="15"/>
      <c r="U695" s="15"/>
      <c r="V695" s="15"/>
      <c r="W695" s="15"/>
      <c r="X695" s="15"/>
      <c r="Y695" s="15"/>
      <c r="Z695" s="15"/>
      <c r="AA695" s="15"/>
    </row>
    <row r="696" spans="2:27" s="13" customFormat="1">
      <c r="B696" s="12"/>
      <c r="L696" s="14"/>
      <c r="M696" s="14"/>
      <c r="N696" s="14"/>
      <c r="O696" s="15"/>
      <c r="P696" s="15"/>
      <c r="Q696" s="15"/>
      <c r="R696" s="15"/>
      <c r="S696" s="15"/>
      <c r="T696" s="15"/>
      <c r="U696" s="15"/>
      <c r="V696" s="15"/>
      <c r="W696" s="15"/>
      <c r="X696" s="15"/>
      <c r="Y696" s="15"/>
      <c r="Z696" s="15"/>
      <c r="AA696" s="15"/>
    </row>
    <row r="697" spans="2:27" s="13" customFormat="1">
      <c r="B697" s="12"/>
      <c r="L697" s="14"/>
      <c r="M697" s="14"/>
      <c r="N697" s="14"/>
      <c r="O697" s="15"/>
      <c r="P697" s="15"/>
      <c r="Q697" s="15"/>
      <c r="R697" s="15"/>
      <c r="S697" s="15"/>
      <c r="T697" s="15"/>
      <c r="U697" s="15"/>
      <c r="V697" s="15"/>
      <c r="W697" s="15"/>
      <c r="X697" s="15"/>
      <c r="Y697" s="15"/>
      <c r="Z697" s="15"/>
      <c r="AA697" s="15"/>
    </row>
    <row r="698" spans="2:27" s="13" customFormat="1">
      <c r="B698" s="12"/>
      <c r="L698" s="14"/>
      <c r="M698" s="14"/>
      <c r="N698" s="14"/>
      <c r="O698" s="15"/>
      <c r="P698" s="15"/>
      <c r="Q698" s="15"/>
      <c r="R698" s="15"/>
      <c r="S698" s="15"/>
      <c r="T698" s="15"/>
      <c r="U698" s="15"/>
      <c r="V698" s="15"/>
      <c r="W698" s="15"/>
      <c r="X698" s="15"/>
      <c r="Y698" s="15"/>
      <c r="Z698" s="15"/>
      <c r="AA698" s="15"/>
    </row>
    <row r="699" spans="2:27" s="13" customFormat="1">
      <c r="B699" s="12"/>
      <c r="L699" s="14"/>
      <c r="M699" s="14"/>
      <c r="N699" s="14"/>
      <c r="O699" s="15"/>
      <c r="P699" s="15"/>
      <c r="Q699" s="15"/>
      <c r="R699" s="15"/>
      <c r="S699" s="15"/>
      <c r="T699" s="15"/>
      <c r="U699" s="15"/>
      <c r="V699" s="15"/>
      <c r="W699" s="15"/>
      <c r="X699" s="15"/>
      <c r="Y699" s="15"/>
      <c r="Z699" s="15"/>
      <c r="AA699" s="15"/>
    </row>
    <row r="700" spans="2:27" s="13" customFormat="1">
      <c r="B700" s="12"/>
      <c r="L700" s="14"/>
      <c r="M700" s="14"/>
      <c r="N700" s="14"/>
      <c r="O700" s="15"/>
      <c r="P700" s="15"/>
      <c r="Q700" s="15"/>
      <c r="R700" s="15"/>
      <c r="S700" s="15"/>
      <c r="T700" s="15"/>
      <c r="U700" s="15"/>
      <c r="V700" s="15"/>
      <c r="W700" s="15"/>
      <c r="X700" s="15"/>
      <c r="Y700" s="15"/>
      <c r="Z700" s="15"/>
      <c r="AA700" s="15"/>
    </row>
    <row r="701" spans="2:27" s="13" customFormat="1">
      <c r="B701" s="12"/>
      <c r="L701" s="14"/>
      <c r="M701" s="14"/>
      <c r="N701" s="14"/>
      <c r="O701" s="15"/>
      <c r="P701" s="15"/>
      <c r="Q701" s="15"/>
      <c r="R701" s="15"/>
      <c r="S701" s="15"/>
      <c r="T701" s="15"/>
      <c r="U701" s="15"/>
      <c r="V701" s="15"/>
      <c r="W701" s="15"/>
      <c r="X701" s="15"/>
      <c r="Y701" s="15"/>
      <c r="Z701" s="15"/>
      <c r="AA701" s="15"/>
    </row>
    <row r="702" spans="2:27" s="13" customFormat="1">
      <c r="B702" s="12"/>
      <c r="L702" s="14"/>
      <c r="M702" s="14"/>
      <c r="N702" s="14"/>
      <c r="O702" s="15"/>
      <c r="P702" s="15"/>
      <c r="Q702" s="15"/>
      <c r="R702" s="15"/>
      <c r="S702" s="15"/>
      <c r="T702" s="15"/>
      <c r="U702" s="15"/>
      <c r="V702" s="15"/>
      <c r="W702" s="15"/>
      <c r="X702" s="15"/>
      <c r="Y702" s="15"/>
      <c r="Z702" s="15"/>
      <c r="AA702" s="15"/>
    </row>
    <row r="703" spans="2:27" s="13" customFormat="1">
      <c r="B703" s="12"/>
      <c r="L703" s="14"/>
      <c r="M703" s="14"/>
      <c r="N703" s="14"/>
      <c r="O703" s="15"/>
      <c r="P703" s="15"/>
      <c r="Q703" s="15"/>
      <c r="R703" s="15"/>
      <c r="S703" s="15"/>
      <c r="T703" s="15"/>
      <c r="U703" s="15"/>
      <c r="V703" s="15"/>
      <c r="W703" s="15"/>
      <c r="X703" s="15"/>
      <c r="Y703" s="15"/>
      <c r="Z703" s="15"/>
      <c r="AA703" s="15"/>
    </row>
    <row r="704" spans="2:27" s="13" customFormat="1">
      <c r="B704" s="12"/>
      <c r="L704" s="14"/>
      <c r="M704" s="14"/>
      <c r="N704" s="14"/>
      <c r="O704" s="15"/>
      <c r="P704" s="15"/>
      <c r="Q704" s="15"/>
      <c r="R704" s="15"/>
      <c r="S704" s="15"/>
      <c r="T704" s="15"/>
      <c r="U704" s="15"/>
      <c r="V704" s="15"/>
      <c r="W704" s="15"/>
      <c r="X704" s="15"/>
      <c r="Y704" s="15"/>
      <c r="Z704" s="15"/>
      <c r="AA704" s="15"/>
    </row>
    <row r="705" spans="2:27" s="13" customFormat="1">
      <c r="B705" s="12"/>
      <c r="L705" s="14"/>
      <c r="M705" s="14"/>
      <c r="N705" s="14"/>
      <c r="O705" s="15"/>
      <c r="P705" s="15"/>
      <c r="Q705" s="15"/>
      <c r="R705" s="15"/>
      <c r="S705" s="15"/>
      <c r="T705" s="15"/>
      <c r="U705" s="15"/>
      <c r="V705" s="15"/>
      <c r="W705" s="15"/>
      <c r="X705" s="15"/>
      <c r="Y705" s="15"/>
      <c r="Z705" s="15"/>
      <c r="AA705" s="15"/>
    </row>
    <row r="706" spans="2:27" s="13" customFormat="1">
      <c r="B706" s="12"/>
      <c r="L706" s="14"/>
      <c r="M706" s="14"/>
      <c r="N706" s="14"/>
      <c r="O706" s="15"/>
      <c r="P706" s="15"/>
      <c r="Q706" s="15"/>
      <c r="R706" s="15"/>
      <c r="S706" s="15"/>
      <c r="T706" s="15"/>
      <c r="U706" s="15"/>
      <c r="V706" s="15"/>
      <c r="W706" s="15"/>
      <c r="X706" s="15"/>
      <c r="Y706" s="15"/>
      <c r="Z706" s="15"/>
      <c r="AA706" s="15"/>
    </row>
    <row r="707" spans="2:27" s="13" customFormat="1">
      <c r="B707" s="12"/>
      <c r="L707" s="14"/>
      <c r="M707" s="14"/>
      <c r="N707" s="14"/>
      <c r="O707" s="15"/>
      <c r="P707" s="15"/>
      <c r="Q707" s="15"/>
      <c r="R707" s="15"/>
      <c r="S707" s="15"/>
      <c r="T707" s="15"/>
      <c r="U707" s="15"/>
      <c r="V707" s="15"/>
      <c r="W707" s="15"/>
      <c r="X707" s="15"/>
      <c r="Y707" s="15"/>
      <c r="Z707" s="15"/>
      <c r="AA707" s="15"/>
    </row>
    <row r="708" spans="2:27" s="13" customFormat="1">
      <c r="B708" s="12"/>
      <c r="L708" s="14"/>
      <c r="M708" s="14"/>
      <c r="N708" s="14"/>
      <c r="O708" s="15"/>
      <c r="P708" s="15"/>
      <c r="Q708" s="15"/>
      <c r="R708" s="15"/>
      <c r="S708" s="15"/>
      <c r="T708" s="15"/>
      <c r="U708" s="15"/>
      <c r="V708" s="15"/>
      <c r="W708" s="15"/>
      <c r="X708" s="15"/>
      <c r="Y708" s="15"/>
      <c r="Z708" s="15"/>
      <c r="AA708" s="15"/>
    </row>
    <row r="709" spans="2:27" s="13" customFormat="1">
      <c r="B709" s="12"/>
      <c r="L709" s="14"/>
      <c r="M709" s="14"/>
      <c r="N709" s="14"/>
      <c r="O709" s="15"/>
      <c r="P709" s="15"/>
      <c r="Q709" s="15"/>
      <c r="R709" s="15"/>
      <c r="S709" s="15"/>
      <c r="T709" s="15"/>
      <c r="U709" s="15"/>
      <c r="V709" s="15"/>
      <c r="W709" s="15"/>
      <c r="X709" s="15"/>
      <c r="Y709" s="15"/>
      <c r="Z709" s="15"/>
      <c r="AA709" s="15"/>
    </row>
    <row r="710" spans="2:27" s="13" customFormat="1">
      <c r="B710" s="12"/>
      <c r="L710" s="14"/>
      <c r="M710" s="14"/>
      <c r="N710" s="14"/>
      <c r="O710" s="15"/>
      <c r="P710" s="15"/>
      <c r="Q710" s="15"/>
      <c r="R710" s="15"/>
      <c r="S710" s="15"/>
      <c r="T710" s="15"/>
      <c r="U710" s="15"/>
      <c r="V710" s="15"/>
      <c r="W710" s="15"/>
      <c r="X710" s="15"/>
      <c r="Y710" s="15"/>
      <c r="Z710" s="15"/>
      <c r="AA710" s="15"/>
    </row>
    <row r="711" spans="2:27" s="13" customFormat="1">
      <c r="B711" s="12"/>
      <c r="L711" s="14"/>
      <c r="M711" s="14"/>
      <c r="N711" s="14"/>
      <c r="O711" s="15"/>
      <c r="P711" s="15"/>
      <c r="Q711" s="15"/>
      <c r="R711" s="15"/>
      <c r="S711" s="15"/>
      <c r="T711" s="15"/>
      <c r="U711" s="15"/>
      <c r="V711" s="15"/>
      <c r="W711" s="15"/>
      <c r="X711" s="15"/>
      <c r="Y711" s="15"/>
      <c r="Z711" s="15"/>
      <c r="AA711" s="15"/>
    </row>
    <row r="712" spans="2:27" s="13" customFormat="1">
      <c r="B712" s="12"/>
      <c r="L712" s="14"/>
      <c r="M712" s="14"/>
      <c r="N712" s="14"/>
      <c r="O712" s="15"/>
      <c r="P712" s="15"/>
      <c r="Q712" s="15"/>
      <c r="R712" s="15"/>
      <c r="S712" s="15"/>
      <c r="T712" s="15"/>
      <c r="U712" s="15"/>
      <c r="V712" s="15"/>
      <c r="W712" s="15"/>
      <c r="X712" s="15"/>
      <c r="Y712" s="15"/>
      <c r="Z712" s="15"/>
      <c r="AA712" s="15"/>
    </row>
    <row r="713" spans="2:27" s="13" customFormat="1">
      <c r="B713" s="12"/>
      <c r="L713" s="14"/>
      <c r="M713" s="14"/>
      <c r="N713" s="14"/>
      <c r="O713" s="15"/>
      <c r="P713" s="15"/>
      <c r="Q713" s="15"/>
      <c r="R713" s="15"/>
      <c r="S713" s="15"/>
      <c r="T713" s="15"/>
      <c r="U713" s="15"/>
      <c r="V713" s="15"/>
      <c r="W713" s="15"/>
      <c r="X713" s="15"/>
      <c r="Y713" s="15"/>
      <c r="Z713" s="15"/>
      <c r="AA713" s="15"/>
    </row>
    <row r="714" spans="2:27" s="13" customFormat="1">
      <c r="B714" s="12"/>
      <c r="L714" s="14"/>
      <c r="M714" s="14"/>
      <c r="N714" s="14"/>
      <c r="O714" s="15"/>
      <c r="P714" s="15"/>
      <c r="Q714" s="15"/>
      <c r="R714" s="15"/>
      <c r="S714" s="15"/>
      <c r="T714" s="15"/>
      <c r="U714" s="15"/>
      <c r="V714" s="15"/>
      <c r="W714" s="15"/>
      <c r="X714" s="15"/>
      <c r="Y714" s="15"/>
      <c r="Z714" s="15"/>
      <c r="AA714" s="15"/>
    </row>
    <row r="715" spans="2:27" s="13" customFormat="1">
      <c r="B715" s="12"/>
      <c r="L715" s="14"/>
      <c r="M715" s="14"/>
      <c r="N715" s="14"/>
      <c r="O715" s="15"/>
      <c r="P715" s="15"/>
      <c r="Q715" s="15"/>
      <c r="R715" s="15"/>
      <c r="S715" s="15"/>
      <c r="T715" s="15"/>
      <c r="U715" s="15"/>
      <c r="V715" s="15"/>
      <c r="W715" s="15"/>
      <c r="X715" s="15"/>
      <c r="Y715" s="15"/>
      <c r="Z715" s="15"/>
      <c r="AA715" s="15"/>
    </row>
    <row r="716" spans="2:27" s="13" customFormat="1">
      <c r="B716" s="12"/>
      <c r="L716" s="14"/>
      <c r="M716" s="14"/>
      <c r="N716" s="14"/>
      <c r="O716" s="15"/>
      <c r="P716" s="15"/>
      <c r="Q716" s="15"/>
      <c r="R716" s="15"/>
      <c r="S716" s="15"/>
      <c r="T716" s="15"/>
      <c r="U716" s="15"/>
      <c r="V716" s="15"/>
      <c r="W716" s="15"/>
      <c r="X716" s="15"/>
      <c r="Y716" s="15"/>
      <c r="Z716" s="15"/>
      <c r="AA716" s="15"/>
    </row>
    <row r="717" spans="2:27" s="13" customFormat="1">
      <c r="B717" s="12"/>
      <c r="L717" s="14"/>
      <c r="M717" s="14"/>
      <c r="N717" s="14"/>
      <c r="O717" s="15"/>
      <c r="P717" s="15"/>
      <c r="Q717" s="15"/>
      <c r="R717" s="15"/>
      <c r="S717" s="15"/>
      <c r="T717" s="15"/>
      <c r="U717" s="15"/>
      <c r="V717" s="15"/>
      <c r="W717" s="15"/>
      <c r="X717" s="15"/>
      <c r="Y717" s="15"/>
      <c r="Z717" s="15"/>
      <c r="AA717" s="15"/>
    </row>
    <row r="718" spans="2:27" s="13" customFormat="1">
      <c r="B718" s="12"/>
      <c r="L718" s="14"/>
      <c r="M718" s="14"/>
      <c r="N718" s="14"/>
      <c r="O718" s="15"/>
      <c r="P718" s="15"/>
      <c r="Q718" s="15"/>
      <c r="R718" s="15"/>
      <c r="S718" s="15"/>
      <c r="T718" s="15"/>
      <c r="U718" s="15"/>
      <c r="V718" s="15"/>
      <c r="W718" s="15"/>
      <c r="X718" s="15"/>
      <c r="Y718" s="15"/>
      <c r="Z718" s="15"/>
      <c r="AA718" s="15"/>
    </row>
    <row r="719" spans="2:27" s="13" customFormat="1">
      <c r="B719" s="12"/>
      <c r="L719" s="14"/>
      <c r="M719" s="14"/>
      <c r="N719" s="14"/>
      <c r="O719" s="15"/>
      <c r="P719" s="15"/>
      <c r="Q719" s="15"/>
      <c r="R719" s="15"/>
      <c r="S719" s="15"/>
      <c r="T719" s="15"/>
      <c r="U719" s="15"/>
      <c r="V719" s="15"/>
      <c r="W719" s="15"/>
      <c r="X719" s="15"/>
      <c r="Y719" s="15"/>
      <c r="Z719" s="15"/>
      <c r="AA719" s="15"/>
    </row>
    <row r="720" spans="2:27" s="13" customFormat="1">
      <c r="B720" s="12"/>
      <c r="L720" s="14"/>
      <c r="M720" s="14"/>
      <c r="N720" s="14"/>
      <c r="O720" s="15"/>
      <c r="P720" s="15"/>
      <c r="Q720" s="15"/>
      <c r="R720" s="15"/>
      <c r="S720" s="15"/>
      <c r="T720" s="15"/>
      <c r="U720" s="15"/>
      <c r="V720" s="15"/>
      <c r="W720" s="15"/>
      <c r="X720" s="15"/>
      <c r="Y720" s="15"/>
      <c r="Z720" s="15"/>
      <c r="AA720" s="15"/>
    </row>
    <row r="721" spans="2:27" s="13" customFormat="1">
      <c r="B721" s="12"/>
      <c r="L721" s="14"/>
      <c r="M721" s="14"/>
      <c r="N721" s="14"/>
      <c r="O721" s="15"/>
      <c r="P721" s="15"/>
      <c r="Q721" s="15"/>
      <c r="R721" s="15"/>
      <c r="S721" s="15"/>
      <c r="T721" s="15"/>
      <c r="U721" s="15"/>
      <c r="V721" s="15"/>
      <c r="W721" s="15"/>
      <c r="X721" s="15"/>
      <c r="Y721" s="15"/>
      <c r="Z721" s="15"/>
      <c r="AA721" s="15"/>
    </row>
    <row r="722" spans="2:27" s="13" customFormat="1">
      <c r="B722" s="12"/>
      <c r="L722" s="14"/>
      <c r="M722" s="14"/>
      <c r="N722" s="14"/>
      <c r="O722" s="15"/>
      <c r="P722" s="15"/>
      <c r="Q722" s="15"/>
      <c r="R722" s="15"/>
      <c r="S722" s="15"/>
      <c r="T722" s="15"/>
      <c r="U722" s="15"/>
      <c r="V722" s="15"/>
      <c r="W722" s="15"/>
      <c r="X722" s="15"/>
      <c r="Y722" s="15"/>
      <c r="Z722" s="15"/>
      <c r="AA722" s="15"/>
    </row>
    <row r="723" spans="2:27" s="13" customFormat="1">
      <c r="B723" s="12"/>
      <c r="L723" s="14"/>
      <c r="M723" s="14"/>
      <c r="N723" s="14"/>
      <c r="O723" s="15"/>
      <c r="P723" s="15"/>
      <c r="Q723" s="15"/>
      <c r="R723" s="15"/>
      <c r="S723" s="15"/>
      <c r="T723" s="15"/>
      <c r="U723" s="15"/>
      <c r="V723" s="15"/>
      <c r="W723" s="15"/>
      <c r="X723" s="15"/>
      <c r="Y723" s="15"/>
      <c r="Z723" s="15"/>
      <c r="AA723" s="15"/>
    </row>
    <row r="724" spans="2:27" s="13" customFormat="1">
      <c r="B724" s="12"/>
      <c r="L724" s="14"/>
      <c r="M724" s="14"/>
      <c r="N724" s="14"/>
      <c r="O724" s="15"/>
      <c r="P724" s="15"/>
      <c r="Q724" s="15"/>
      <c r="R724" s="15"/>
      <c r="S724" s="15"/>
      <c r="T724" s="15"/>
      <c r="U724" s="15"/>
      <c r="V724" s="15"/>
      <c r="W724" s="15"/>
      <c r="X724" s="15"/>
      <c r="Y724" s="15"/>
      <c r="Z724" s="15"/>
      <c r="AA724" s="15"/>
    </row>
    <row r="725" spans="2:27" s="13" customFormat="1">
      <c r="B725" s="12"/>
      <c r="L725" s="14"/>
      <c r="M725" s="14"/>
      <c r="N725" s="14"/>
      <c r="O725" s="15"/>
      <c r="P725" s="15"/>
      <c r="Q725" s="15"/>
      <c r="R725" s="15"/>
      <c r="S725" s="15"/>
      <c r="T725" s="15"/>
      <c r="U725" s="15"/>
      <c r="V725" s="15"/>
      <c r="W725" s="15"/>
      <c r="X725" s="15"/>
      <c r="Y725" s="15"/>
      <c r="Z725" s="15"/>
      <c r="AA725" s="15"/>
    </row>
    <row r="726" spans="2:27" s="13" customFormat="1">
      <c r="B726" s="12"/>
      <c r="L726" s="14"/>
      <c r="M726" s="14"/>
      <c r="N726" s="14"/>
      <c r="O726" s="15"/>
      <c r="P726" s="15"/>
      <c r="Q726" s="15"/>
      <c r="R726" s="15"/>
      <c r="S726" s="15"/>
      <c r="T726" s="15"/>
      <c r="U726" s="15"/>
      <c r="V726" s="15"/>
      <c r="W726" s="15"/>
      <c r="X726" s="15"/>
      <c r="Y726" s="15"/>
      <c r="Z726" s="15"/>
      <c r="AA726" s="15"/>
    </row>
    <row r="727" spans="2:27" s="13" customFormat="1">
      <c r="B727" s="12"/>
      <c r="L727" s="14"/>
      <c r="M727" s="14"/>
      <c r="N727" s="14"/>
      <c r="O727" s="15"/>
      <c r="P727" s="15"/>
      <c r="Q727" s="15"/>
      <c r="R727" s="15"/>
      <c r="S727" s="15"/>
      <c r="T727" s="15"/>
      <c r="U727" s="15"/>
      <c r="V727" s="15"/>
      <c r="W727" s="15"/>
      <c r="X727" s="15"/>
      <c r="Y727" s="15"/>
      <c r="Z727" s="15"/>
      <c r="AA727" s="15"/>
    </row>
    <row r="728" spans="2:27" s="13" customFormat="1">
      <c r="B728" s="12"/>
      <c r="L728" s="14"/>
      <c r="M728" s="14"/>
      <c r="N728" s="14"/>
      <c r="O728" s="15"/>
      <c r="P728" s="15"/>
      <c r="Q728" s="15"/>
      <c r="R728" s="15"/>
      <c r="S728" s="15"/>
      <c r="T728" s="15"/>
      <c r="U728" s="15"/>
      <c r="V728" s="15"/>
      <c r="W728" s="15"/>
      <c r="X728" s="15"/>
      <c r="Y728" s="15"/>
      <c r="Z728" s="15"/>
      <c r="AA728" s="15"/>
    </row>
    <row r="729" spans="2:27" s="13" customFormat="1">
      <c r="B729" s="12"/>
      <c r="L729" s="14"/>
      <c r="M729" s="14"/>
      <c r="N729" s="14"/>
      <c r="O729" s="15"/>
      <c r="P729" s="15"/>
      <c r="Q729" s="15"/>
      <c r="R729" s="15"/>
      <c r="S729" s="15"/>
      <c r="T729" s="15"/>
      <c r="U729" s="15"/>
      <c r="V729" s="15"/>
      <c r="W729" s="15"/>
      <c r="X729" s="15"/>
      <c r="Y729" s="15"/>
      <c r="Z729" s="15"/>
      <c r="AA729" s="15"/>
    </row>
    <row r="730" spans="2:27" s="13" customFormat="1">
      <c r="B730" s="12"/>
      <c r="L730" s="14"/>
      <c r="M730" s="14"/>
      <c r="N730" s="14"/>
      <c r="O730" s="15"/>
      <c r="P730" s="15"/>
      <c r="Q730" s="15"/>
      <c r="R730" s="15"/>
      <c r="S730" s="15"/>
      <c r="T730" s="15"/>
      <c r="U730" s="15"/>
      <c r="V730" s="15"/>
      <c r="W730" s="15"/>
      <c r="X730" s="15"/>
      <c r="Y730" s="15"/>
      <c r="Z730" s="15"/>
      <c r="AA730" s="15"/>
    </row>
    <row r="731" spans="2:27" s="13" customFormat="1">
      <c r="B731" s="12"/>
      <c r="L731" s="14"/>
      <c r="M731" s="14"/>
      <c r="N731" s="14"/>
      <c r="O731" s="15"/>
      <c r="P731" s="15"/>
      <c r="Q731" s="15"/>
      <c r="R731" s="15"/>
      <c r="S731" s="15"/>
      <c r="T731" s="15"/>
      <c r="U731" s="15"/>
      <c r="V731" s="15"/>
      <c r="W731" s="15"/>
      <c r="X731" s="15"/>
      <c r="Y731" s="15"/>
      <c r="Z731" s="15"/>
      <c r="AA731" s="15"/>
    </row>
    <row r="732" spans="2:27" s="13" customFormat="1">
      <c r="B732" s="12"/>
      <c r="L732" s="14"/>
      <c r="M732" s="14"/>
      <c r="N732" s="14"/>
      <c r="O732" s="15"/>
      <c r="P732" s="15"/>
      <c r="Q732" s="15"/>
      <c r="R732" s="15"/>
      <c r="S732" s="15"/>
      <c r="T732" s="15"/>
      <c r="U732" s="15"/>
      <c r="V732" s="15"/>
      <c r="W732" s="15"/>
      <c r="X732" s="15"/>
      <c r="Y732" s="15"/>
      <c r="Z732" s="15"/>
      <c r="AA732" s="15"/>
    </row>
    <row r="733" spans="2:27" s="13" customFormat="1">
      <c r="B733" s="12"/>
      <c r="L733" s="14"/>
      <c r="M733" s="14"/>
      <c r="N733" s="14"/>
      <c r="O733" s="15"/>
      <c r="P733" s="15"/>
      <c r="Q733" s="15"/>
      <c r="R733" s="15"/>
      <c r="S733" s="15"/>
      <c r="T733" s="15"/>
      <c r="U733" s="15"/>
      <c r="V733" s="15"/>
      <c r="W733" s="15"/>
      <c r="X733" s="15"/>
      <c r="Y733" s="15"/>
      <c r="Z733" s="15"/>
      <c r="AA733" s="15"/>
    </row>
    <row r="734" spans="2:27" s="13" customFormat="1">
      <c r="B734" s="12"/>
      <c r="L734" s="14"/>
      <c r="M734" s="14"/>
      <c r="N734" s="14"/>
      <c r="O734" s="15"/>
      <c r="P734" s="15"/>
      <c r="Q734" s="15"/>
      <c r="R734" s="15"/>
      <c r="S734" s="15"/>
      <c r="T734" s="15"/>
      <c r="U734" s="15"/>
      <c r="V734" s="15"/>
      <c r="W734" s="15"/>
      <c r="X734" s="15"/>
      <c r="Y734" s="15"/>
      <c r="Z734" s="15"/>
      <c r="AA734" s="15"/>
    </row>
    <row r="735" spans="2:27" s="13" customFormat="1">
      <c r="B735" s="12"/>
      <c r="L735" s="14"/>
      <c r="M735" s="14"/>
      <c r="N735" s="14"/>
      <c r="O735" s="15"/>
      <c r="P735" s="15"/>
      <c r="Q735" s="15"/>
      <c r="R735" s="15"/>
      <c r="S735" s="15"/>
      <c r="T735" s="15"/>
      <c r="U735" s="15"/>
      <c r="V735" s="15"/>
      <c r="W735" s="15"/>
      <c r="X735" s="15"/>
      <c r="Y735" s="15"/>
      <c r="Z735" s="15"/>
      <c r="AA735" s="15"/>
    </row>
    <row r="736" spans="2:27" s="13" customFormat="1">
      <c r="B736" s="12"/>
      <c r="L736" s="14"/>
      <c r="M736" s="14"/>
      <c r="N736" s="14"/>
      <c r="O736" s="15"/>
      <c r="P736" s="15"/>
      <c r="Q736" s="15"/>
      <c r="R736" s="15"/>
      <c r="S736" s="15"/>
      <c r="T736" s="15"/>
      <c r="U736" s="15"/>
      <c r="V736" s="15"/>
      <c r="W736" s="15"/>
      <c r="X736" s="15"/>
      <c r="Y736" s="15"/>
      <c r="Z736" s="15"/>
      <c r="AA736" s="15"/>
    </row>
    <row r="737" spans="2:27" s="13" customFormat="1">
      <c r="B737" s="12"/>
      <c r="L737" s="14"/>
      <c r="M737" s="14"/>
      <c r="N737" s="14"/>
      <c r="O737" s="15"/>
      <c r="P737" s="15"/>
      <c r="Q737" s="15"/>
      <c r="R737" s="15"/>
      <c r="S737" s="15"/>
      <c r="T737" s="15"/>
      <c r="U737" s="15"/>
      <c r="V737" s="15"/>
      <c r="W737" s="15"/>
      <c r="X737" s="15"/>
      <c r="Y737" s="15"/>
      <c r="Z737" s="15"/>
      <c r="AA737" s="15"/>
    </row>
    <row r="738" spans="2:27" s="13" customFormat="1">
      <c r="B738" s="12"/>
      <c r="L738" s="14"/>
      <c r="M738" s="14"/>
      <c r="N738" s="14"/>
      <c r="O738" s="15"/>
      <c r="P738" s="15"/>
      <c r="Q738" s="15"/>
      <c r="R738" s="15"/>
      <c r="S738" s="15"/>
      <c r="T738" s="15"/>
      <c r="U738" s="15"/>
      <c r="V738" s="15"/>
      <c r="W738" s="15"/>
      <c r="X738" s="15"/>
      <c r="Y738" s="15"/>
      <c r="Z738" s="15"/>
      <c r="AA738" s="15"/>
    </row>
    <row r="739" spans="2:27" s="13" customFormat="1">
      <c r="B739" s="12"/>
      <c r="L739" s="14"/>
      <c r="M739" s="14"/>
      <c r="N739" s="14"/>
      <c r="O739" s="15"/>
      <c r="P739" s="15"/>
      <c r="Q739" s="15"/>
      <c r="R739" s="15"/>
      <c r="S739" s="15"/>
      <c r="T739" s="15"/>
      <c r="U739" s="15"/>
      <c r="V739" s="15"/>
      <c r="W739" s="15"/>
      <c r="X739" s="15"/>
      <c r="Y739" s="15"/>
      <c r="Z739" s="15"/>
      <c r="AA739" s="15"/>
    </row>
    <row r="740" spans="2:27" s="13" customFormat="1">
      <c r="B740" s="12"/>
      <c r="L740" s="14"/>
      <c r="M740" s="14"/>
      <c r="N740" s="14"/>
      <c r="O740" s="15"/>
      <c r="P740" s="15"/>
      <c r="Q740" s="15"/>
      <c r="R740" s="15"/>
      <c r="S740" s="15"/>
      <c r="T740" s="15"/>
      <c r="U740" s="15"/>
      <c r="V740" s="15"/>
      <c r="W740" s="15"/>
      <c r="X740" s="15"/>
      <c r="Y740" s="15"/>
      <c r="Z740" s="15"/>
      <c r="AA740" s="15"/>
    </row>
    <row r="741" spans="2:27" s="13" customFormat="1">
      <c r="B741" s="12"/>
      <c r="L741" s="14"/>
      <c r="M741" s="14"/>
      <c r="N741" s="14"/>
      <c r="O741" s="15"/>
      <c r="P741" s="15"/>
      <c r="Q741" s="15"/>
      <c r="R741" s="15"/>
      <c r="S741" s="15"/>
      <c r="T741" s="15"/>
      <c r="U741" s="15"/>
      <c r="V741" s="15"/>
      <c r="W741" s="15"/>
      <c r="X741" s="15"/>
      <c r="Y741" s="15"/>
      <c r="Z741" s="15"/>
      <c r="AA741" s="15"/>
    </row>
    <row r="742" spans="2:27" s="13" customFormat="1">
      <c r="B742" s="12"/>
      <c r="L742" s="14"/>
      <c r="M742" s="14"/>
      <c r="N742" s="14"/>
      <c r="O742" s="15"/>
      <c r="P742" s="15"/>
      <c r="Q742" s="15"/>
      <c r="R742" s="15"/>
      <c r="S742" s="15"/>
      <c r="T742" s="15"/>
      <c r="U742" s="15"/>
      <c r="V742" s="15"/>
      <c r="W742" s="15"/>
      <c r="X742" s="15"/>
      <c r="Y742" s="15"/>
      <c r="Z742" s="15"/>
      <c r="AA742" s="15"/>
    </row>
    <row r="743" spans="2:27" s="13" customFormat="1">
      <c r="B743" s="12"/>
      <c r="L743" s="14"/>
      <c r="M743" s="14"/>
      <c r="N743" s="14"/>
      <c r="O743" s="15"/>
      <c r="P743" s="15"/>
      <c r="Q743" s="15"/>
      <c r="R743" s="15"/>
      <c r="S743" s="15"/>
      <c r="T743" s="15"/>
      <c r="U743" s="15"/>
      <c r="V743" s="15"/>
      <c r="W743" s="15"/>
      <c r="X743" s="15"/>
      <c r="Y743" s="15"/>
      <c r="Z743" s="15"/>
      <c r="AA743" s="15"/>
    </row>
    <row r="744" spans="2:27" s="13" customFormat="1">
      <c r="B744" s="12"/>
      <c r="L744" s="14"/>
      <c r="M744" s="14"/>
      <c r="N744" s="14"/>
      <c r="O744" s="15"/>
      <c r="P744" s="15"/>
      <c r="Q744" s="15"/>
      <c r="R744" s="15"/>
      <c r="S744" s="15"/>
      <c r="T744" s="15"/>
      <c r="U744" s="15"/>
      <c r="V744" s="15"/>
      <c r="W744" s="15"/>
      <c r="X744" s="15"/>
      <c r="Y744" s="15"/>
      <c r="Z744" s="15"/>
      <c r="AA744" s="15"/>
    </row>
    <row r="745" spans="2:27" s="13" customFormat="1">
      <c r="B745" s="12"/>
      <c r="L745" s="14"/>
      <c r="M745" s="14"/>
      <c r="N745" s="14"/>
      <c r="O745" s="15"/>
      <c r="P745" s="15"/>
      <c r="Q745" s="15"/>
      <c r="R745" s="15"/>
      <c r="S745" s="15"/>
      <c r="T745" s="15"/>
      <c r="U745" s="15"/>
      <c r="V745" s="15"/>
      <c r="W745" s="15"/>
      <c r="X745" s="15"/>
      <c r="Y745" s="15"/>
      <c r="Z745" s="15"/>
      <c r="AA745" s="15"/>
    </row>
    <row r="746" spans="2:27" s="13" customFormat="1">
      <c r="B746" s="12"/>
      <c r="L746" s="14"/>
      <c r="M746" s="14"/>
      <c r="N746" s="14"/>
      <c r="O746" s="15"/>
      <c r="P746" s="15"/>
      <c r="Q746" s="15"/>
      <c r="R746" s="15"/>
      <c r="S746" s="15"/>
      <c r="T746" s="15"/>
      <c r="U746" s="15"/>
      <c r="V746" s="15"/>
      <c r="W746" s="15"/>
      <c r="X746" s="15"/>
      <c r="Y746" s="15"/>
      <c r="Z746" s="15"/>
      <c r="AA746" s="15"/>
    </row>
    <row r="747" spans="2:27" s="13" customFormat="1">
      <c r="B747" s="12"/>
      <c r="L747" s="14"/>
      <c r="M747" s="14"/>
      <c r="N747" s="14"/>
      <c r="O747" s="15"/>
      <c r="P747" s="15"/>
      <c r="Q747" s="15"/>
      <c r="R747" s="15"/>
      <c r="S747" s="15"/>
      <c r="T747" s="15"/>
      <c r="U747" s="15"/>
      <c r="V747" s="15"/>
      <c r="W747" s="15"/>
      <c r="X747" s="15"/>
      <c r="Y747" s="15"/>
      <c r="Z747" s="15"/>
      <c r="AA747" s="15"/>
    </row>
    <row r="748" spans="2:27" s="13" customFormat="1">
      <c r="B748" s="12"/>
      <c r="L748" s="14"/>
      <c r="M748" s="14"/>
      <c r="N748" s="14"/>
      <c r="O748" s="15"/>
      <c r="P748" s="15"/>
      <c r="Q748" s="15"/>
      <c r="R748" s="15"/>
      <c r="S748" s="15"/>
      <c r="T748" s="15"/>
      <c r="U748" s="15"/>
      <c r="V748" s="15"/>
      <c r="W748" s="15"/>
      <c r="X748" s="15"/>
      <c r="Y748" s="15"/>
      <c r="Z748" s="15"/>
      <c r="AA748" s="15"/>
    </row>
    <row r="749" spans="2:27" s="13" customFormat="1">
      <c r="B749" s="12"/>
      <c r="L749" s="14"/>
      <c r="M749" s="14"/>
      <c r="N749" s="14"/>
      <c r="O749" s="15"/>
      <c r="P749" s="15"/>
      <c r="Q749" s="15"/>
      <c r="R749" s="15"/>
      <c r="S749" s="15"/>
      <c r="T749" s="15"/>
      <c r="U749" s="15"/>
      <c r="V749" s="15"/>
      <c r="W749" s="15"/>
      <c r="X749" s="15"/>
      <c r="Y749" s="15"/>
      <c r="Z749" s="15"/>
      <c r="AA749" s="15"/>
    </row>
    <row r="750" spans="2:27" s="13" customFormat="1">
      <c r="B750" s="12"/>
      <c r="L750" s="14"/>
      <c r="M750" s="14"/>
      <c r="N750" s="14"/>
      <c r="O750" s="15"/>
      <c r="P750" s="15"/>
      <c r="Q750" s="15"/>
      <c r="R750" s="15"/>
      <c r="S750" s="15"/>
      <c r="T750" s="15"/>
      <c r="U750" s="15"/>
      <c r="V750" s="15"/>
      <c r="W750" s="15"/>
      <c r="X750" s="15"/>
      <c r="Y750" s="15"/>
      <c r="Z750" s="15"/>
      <c r="AA750" s="15"/>
    </row>
    <row r="751" spans="2:27" s="13" customFormat="1">
      <c r="B751" s="12"/>
      <c r="L751" s="14"/>
      <c r="M751" s="14"/>
      <c r="N751" s="14"/>
      <c r="O751" s="15"/>
      <c r="P751" s="15"/>
      <c r="Q751" s="15"/>
      <c r="R751" s="15"/>
      <c r="S751" s="15"/>
      <c r="T751" s="15"/>
      <c r="U751" s="15"/>
      <c r="V751" s="15"/>
      <c r="W751" s="15"/>
      <c r="X751" s="15"/>
      <c r="Y751" s="15"/>
      <c r="Z751" s="15"/>
      <c r="AA751" s="15"/>
    </row>
    <row r="752" spans="2:27" s="13" customFormat="1">
      <c r="B752" s="12"/>
      <c r="L752" s="14"/>
      <c r="M752" s="14"/>
      <c r="N752" s="14"/>
      <c r="O752" s="15"/>
      <c r="P752" s="15"/>
      <c r="Q752" s="15"/>
      <c r="R752" s="15"/>
      <c r="S752" s="15"/>
      <c r="T752" s="15"/>
      <c r="U752" s="15"/>
      <c r="V752" s="15"/>
      <c r="W752" s="15"/>
      <c r="X752" s="15"/>
      <c r="Y752" s="15"/>
      <c r="Z752" s="15"/>
      <c r="AA752" s="15"/>
    </row>
    <row r="753" spans="2:27" s="13" customFormat="1">
      <c r="B753" s="12"/>
      <c r="L753" s="14"/>
      <c r="M753" s="14"/>
      <c r="N753" s="14"/>
      <c r="O753" s="15"/>
      <c r="P753" s="15"/>
      <c r="Q753" s="15"/>
      <c r="R753" s="15"/>
      <c r="S753" s="15"/>
      <c r="T753" s="15"/>
      <c r="U753" s="15"/>
      <c r="V753" s="15"/>
      <c r="W753" s="15"/>
      <c r="X753" s="15"/>
      <c r="Y753" s="15"/>
      <c r="Z753" s="15"/>
      <c r="AA753" s="15"/>
    </row>
    <row r="754" spans="2:27" s="13" customFormat="1">
      <c r="B754" s="12"/>
      <c r="L754" s="14"/>
      <c r="M754" s="14"/>
      <c r="N754" s="14"/>
      <c r="O754" s="15"/>
      <c r="P754" s="15"/>
      <c r="Q754" s="15"/>
      <c r="R754" s="15"/>
      <c r="S754" s="15"/>
      <c r="T754" s="15"/>
      <c r="U754" s="15"/>
      <c r="V754" s="15"/>
      <c r="W754" s="15"/>
      <c r="X754" s="15"/>
      <c r="Y754" s="15"/>
      <c r="Z754" s="15"/>
      <c r="AA754" s="15"/>
    </row>
    <row r="755" spans="2:27" s="13" customFormat="1">
      <c r="B755" s="12"/>
      <c r="L755" s="14"/>
      <c r="M755" s="14"/>
      <c r="N755" s="14"/>
      <c r="O755" s="15"/>
      <c r="P755" s="15"/>
      <c r="Q755" s="15"/>
      <c r="R755" s="15"/>
      <c r="S755" s="15"/>
      <c r="T755" s="15"/>
      <c r="U755" s="15"/>
      <c r="V755" s="15"/>
      <c r="W755" s="15"/>
      <c r="X755" s="15"/>
      <c r="Y755" s="15"/>
      <c r="Z755" s="15"/>
      <c r="AA755" s="15"/>
    </row>
    <row r="756" spans="2:27" s="13" customFormat="1">
      <c r="B756" s="12"/>
      <c r="L756" s="14"/>
      <c r="M756" s="14"/>
      <c r="N756" s="14"/>
      <c r="O756" s="15"/>
      <c r="P756" s="15"/>
      <c r="Q756" s="15"/>
      <c r="R756" s="15"/>
      <c r="S756" s="15"/>
      <c r="T756" s="15"/>
      <c r="U756" s="15"/>
      <c r="V756" s="15"/>
      <c r="W756" s="15"/>
      <c r="X756" s="15"/>
      <c r="Y756" s="15"/>
      <c r="Z756" s="15"/>
      <c r="AA756" s="15"/>
    </row>
    <row r="757" spans="2:27" s="13" customFormat="1">
      <c r="B757" s="12"/>
      <c r="L757" s="14"/>
      <c r="M757" s="14"/>
      <c r="N757" s="14"/>
      <c r="O757" s="15"/>
      <c r="P757" s="15"/>
      <c r="Q757" s="15"/>
      <c r="R757" s="15"/>
      <c r="S757" s="15"/>
      <c r="T757" s="15"/>
      <c r="U757" s="15"/>
      <c r="V757" s="15"/>
      <c r="W757" s="15"/>
      <c r="X757" s="15"/>
      <c r="Y757" s="15"/>
      <c r="Z757" s="15"/>
      <c r="AA757" s="15"/>
    </row>
    <row r="758" spans="2:27" s="13" customFormat="1">
      <c r="B758" s="12"/>
      <c r="L758" s="14"/>
      <c r="M758" s="14"/>
      <c r="N758" s="14"/>
      <c r="O758" s="15"/>
      <c r="P758" s="15"/>
      <c r="Q758" s="15"/>
      <c r="R758" s="15"/>
      <c r="S758" s="15"/>
      <c r="T758" s="15"/>
      <c r="U758" s="15"/>
      <c r="V758" s="15"/>
      <c r="W758" s="15"/>
      <c r="X758" s="15"/>
      <c r="Y758" s="15"/>
      <c r="Z758" s="15"/>
      <c r="AA758" s="15"/>
    </row>
    <row r="759" spans="2:27" s="13" customFormat="1">
      <c r="B759" s="12"/>
      <c r="L759" s="14"/>
      <c r="M759" s="14"/>
      <c r="N759" s="14"/>
      <c r="O759" s="15"/>
      <c r="P759" s="15"/>
      <c r="Q759" s="15"/>
      <c r="R759" s="15"/>
      <c r="S759" s="15"/>
      <c r="T759" s="15"/>
      <c r="U759" s="15"/>
      <c r="V759" s="15"/>
      <c r="W759" s="15"/>
      <c r="X759" s="15"/>
      <c r="Y759" s="15"/>
      <c r="Z759" s="15"/>
      <c r="AA759" s="15"/>
    </row>
    <row r="760" spans="2:27" s="13" customFormat="1">
      <c r="B760" s="12"/>
      <c r="L760" s="14"/>
      <c r="M760" s="14"/>
      <c r="N760" s="14"/>
      <c r="O760" s="15"/>
      <c r="P760" s="15"/>
      <c r="Q760" s="15"/>
      <c r="R760" s="15"/>
      <c r="S760" s="15"/>
      <c r="T760" s="15"/>
      <c r="U760" s="15"/>
      <c r="V760" s="15"/>
      <c r="W760" s="15"/>
      <c r="X760" s="15"/>
      <c r="Y760" s="15"/>
      <c r="Z760" s="15"/>
      <c r="AA760" s="15"/>
    </row>
    <row r="761" spans="2:27" s="13" customFormat="1">
      <c r="B761" s="12"/>
      <c r="L761" s="14"/>
      <c r="M761" s="14"/>
      <c r="N761" s="14"/>
      <c r="O761" s="15"/>
      <c r="P761" s="15"/>
      <c r="Q761" s="15"/>
      <c r="R761" s="15"/>
      <c r="S761" s="15"/>
      <c r="T761" s="15"/>
      <c r="U761" s="15"/>
      <c r="V761" s="15"/>
      <c r="W761" s="15"/>
      <c r="X761" s="15"/>
      <c r="Y761" s="15"/>
      <c r="Z761" s="15"/>
      <c r="AA761" s="15"/>
    </row>
    <row r="762" spans="2:27" s="13" customFormat="1">
      <c r="B762" s="12"/>
      <c r="L762" s="14"/>
      <c r="M762" s="14"/>
      <c r="N762" s="14"/>
      <c r="O762" s="15"/>
      <c r="P762" s="15"/>
      <c r="Q762" s="15"/>
      <c r="R762" s="15"/>
      <c r="S762" s="15"/>
      <c r="T762" s="15"/>
      <c r="U762" s="15"/>
      <c r="V762" s="15"/>
      <c r="W762" s="15"/>
      <c r="X762" s="15"/>
      <c r="Y762" s="15"/>
      <c r="Z762" s="15"/>
      <c r="AA762" s="15"/>
    </row>
    <row r="763" spans="2:27" s="13" customFormat="1">
      <c r="B763" s="12"/>
      <c r="L763" s="14"/>
      <c r="M763" s="14"/>
      <c r="N763" s="14"/>
      <c r="O763" s="15"/>
      <c r="P763" s="15"/>
      <c r="Q763" s="15"/>
      <c r="R763" s="15"/>
      <c r="S763" s="15"/>
      <c r="T763" s="15"/>
      <c r="U763" s="15"/>
      <c r="V763" s="15"/>
      <c r="W763" s="15"/>
      <c r="X763" s="15"/>
      <c r="Y763" s="15"/>
      <c r="Z763" s="15"/>
      <c r="AA763" s="15"/>
    </row>
    <row r="764" spans="2:27" s="13" customFormat="1">
      <c r="B764" s="12"/>
      <c r="L764" s="14"/>
      <c r="M764" s="14"/>
      <c r="N764" s="14"/>
      <c r="O764" s="15"/>
      <c r="P764" s="15"/>
      <c r="Q764" s="15"/>
      <c r="R764" s="15"/>
      <c r="S764" s="15"/>
      <c r="T764" s="15"/>
      <c r="U764" s="15"/>
      <c r="V764" s="15"/>
      <c r="W764" s="15"/>
      <c r="X764" s="15"/>
      <c r="Y764" s="15"/>
      <c r="Z764" s="15"/>
      <c r="AA764" s="15"/>
    </row>
    <row r="765" spans="2:27" s="13" customFormat="1">
      <c r="B765" s="12"/>
      <c r="L765" s="14"/>
      <c r="M765" s="14"/>
      <c r="N765" s="14"/>
      <c r="O765" s="15"/>
      <c r="P765" s="15"/>
      <c r="Q765" s="15"/>
      <c r="R765" s="15"/>
      <c r="S765" s="15"/>
      <c r="T765" s="15"/>
      <c r="U765" s="15"/>
      <c r="V765" s="15"/>
      <c r="W765" s="15"/>
      <c r="X765" s="15"/>
      <c r="Y765" s="15"/>
      <c r="Z765" s="15"/>
      <c r="AA765" s="15"/>
    </row>
    <row r="766" spans="2:27" s="13" customFormat="1">
      <c r="B766" s="12"/>
      <c r="L766" s="14"/>
      <c r="M766" s="14"/>
      <c r="N766" s="14"/>
      <c r="O766" s="15"/>
      <c r="P766" s="15"/>
      <c r="Q766" s="15"/>
      <c r="R766" s="15"/>
      <c r="S766" s="15"/>
      <c r="T766" s="15"/>
      <c r="U766" s="15"/>
      <c r="V766" s="15"/>
      <c r="W766" s="15"/>
      <c r="X766" s="15"/>
      <c r="Y766" s="15"/>
      <c r="Z766" s="15"/>
      <c r="AA766" s="15"/>
    </row>
    <row r="767" spans="2:27" s="13" customFormat="1">
      <c r="B767" s="12"/>
      <c r="L767" s="14"/>
      <c r="M767" s="14"/>
      <c r="N767" s="14"/>
      <c r="O767" s="15"/>
      <c r="P767" s="15"/>
      <c r="Q767" s="15"/>
      <c r="R767" s="15"/>
      <c r="S767" s="15"/>
      <c r="T767" s="15"/>
      <c r="U767" s="15"/>
      <c r="V767" s="15"/>
      <c r="W767" s="15"/>
      <c r="X767" s="15"/>
      <c r="Y767" s="15"/>
      <c r="Z767" s="15"/>
      <c r="AA767" s="15"/>
    </row>
    <row r="768" spans="2:27" s="13" customFormat="1">
      <c r="B768" s="12"/>
      <c r="L768" s="14"/>
      <c r="M768" s="14"/>
      <c r="N768" s="14"/>
      <c r="O768" s="15"/>
      <c r="P768" s="15"/>
      <c r="Q768" s="15"/>
      <c r="R768" s="15"/>
      <c r="S768" s="15"/>
      <c r="T768" s="15"/>
      <c r="U768" s="15"/>
      <c r="V768" s="15"/>
      <c r="W768" s="15"/>
      <c r="X768" s="15"/>
      <c r="Y768" s="15"/>
      <c r="Z768" s="15"/>
      <c r="AA768" s="15"/>
    </row>
    <row r="769" spans="2:27" s="13" customFormat="1">
      <c r="B769" s="12"/>
      <c r="L769" s="14"/>
      <c r="M769" s="14"/>
      <c r="N769" s="14"/>
      <c r="O769" s="15"/>
      <c r="P769" s="15"/>
      <c r="Q769" s="15"/>
      <c r="R769" s="15"/>
      <c r="S769" s="15"/>
      <c r="T769" s="15"/>
      <c r="U769" s="15"/>
      <c r="V769" s="15"/>
      <c r="W769" s="15"/>
      <c r="X769" s="15"/>
      <c r="Y769" s="15"/>
      <c r="Z769" s="15"/>
      <c r="AA769" s="15"/>
    </row>
    <row r="770" spans="2:27" s="13" customFormat="1">
      <c r="B770" s="12"/>
      <c r="L770" s="14"/>
      <c r="M770" s="14"/>
      <c r="N770" s="14"/>
      <c r="O770" s="15"/>
      <c r="P770" s="15"/>
      <c r="Q770" s="15"/>
      <c r="R770" s="15"/>
      <c r="S770" s="15"/>
      <c r="T770" s="15"/>
      <c r="U770" s="15"/>
      <c r="V770" s="15"/>
      <c r="W770" s="15"/>
      <c r="X770" s="15"/>
      <c r="Y770" s="15"/>
      <c r="Z770" s="15"/>
      <c r="AA770" s="15"/>
    </row>
    <row r="771" spans="2:27" s="13" customFormat="1">
      <c r="B771" s="12"/>
      <c r="L771" s="14"/>
      <c r="M771" s="14"/>
      <c r="N771" s="14"/>
      <c r="O771" s="15"/>
      <c r="P771" s="15"/>
      <c r="Q771" s="15"/>
      <c r="R771" s="15"/>
      <c r="S771" s="15"/>
      <c r="T771" s="15"/>
      <c r="U771" s="15"/>
      <c r="V771" s="15"/>
      <c r="W771" s="15"/>
      <c r="X771" s="15"/>
      <c r="Y771" s="15"/>
      <c r="Z771" s="15"/>
      <c r="AA771" s="15"/>
    </row>
    <row r="772" spans="2:27" s="13" customFormat="1">
      <c r="B772" s="12"/>
      <c r="L772" s="14"/>
      <c r="M772" s="14"/>
      <c r="N772" s="14"/>
      <c r="O772" s="15"/>
      <c r="P772" s="15"/>
      <c r="Q772" s="15"/>
      <c r="R772" s="15"/>
      <c r="S772" s="15"/>
      <c r="T772" s="15"/>
      <c r="U772" s="15"/>
      <c r="V772" s="15"/>
      <c r="W772" s="15"/>
      <c r="X772" s="15"/>
      <c r="Y772" s="15"/>
      <c r="Z772" s="15"/>
      <c r="AA772" s="15"/>
    </row>
    <row r="773" spans="2:27" s="13" customFormat="1">
      <c r="B773" s="12"/>
      <c r="L773" s="14"/>
      <c r="M773" s="14"/>
      <c r="N773" s="14"/>
      <c r="O773" s="15"/>
      <c r="P773" s="15"/>
      <c r="Q773" s="15"/>
      <c r="R773" s="15"/>
      <c r="S773" s="15"/>
      <c r="T773" s="15"/>
      <c r="U773" s="15"/>
      <c r="V773" s="15"/>
      <c r="W773" s="15"/>
      <c r="X773" s="15"/>
      <c r="Y773" s="15"/>
      <c r="Z773" s="15"/>
      <c r="AA773" s="15"/>
    </row>
    <row r="774" spans="2:27" s="13" customFormat="1">
      <c r="B774" s="12"/>
      <c r="L774" s="14"/>
      <c r="M774" s="14"/>
      <c r="N774" s="14"/>
      <c r="O774" s="15"/>
      <c r="P774" s="15"/>
      <c r="Q774" s="15"/>
      <c r="R774" s="15"/>
      <c r="S774" s="15"/>
      <c r="T774" s="15"/>
      <c r="U774" s="15"/>
      <c r="V774" s="15"/>
      <c r="W774" s="15"/>
      <c r="X774" s="15"/>
      <c r="Y774" s="15"/>
      <c r="Z774" s="15"/>
      <c r="AA774" s="15"/>
    </row>
    <row r="775" spans="2:27" s="13" customFormat="1">
      <c r="B775" s="12"/>
      <c r="L775" s="14"/>
      <c r="M775" s="14"/>
      <c r="N775" s="14"/>
      <c r="O775" s="15"/>
      <c r="P775" s="15"/>
      <c r="Q775" s="15"/>
      <c r="R775" s="15"/>
      <c r="S775" s="15"/>
      <c r="T775" s="15"/>
      <c r="U775" s="15"/>
      <c r="V775" s="15"/>
      <c r="W775" s="15"/>
      <c r="X775" s="15"/>
      <c r="Y775" s="15"/>
      <c r="Z775" s="15"/>
      <c r="AA775" s="15"/>
    </row>
    <row r="776" spans="2:27" s="13" customFormat="1">
      <c r="B776" s="12"/>
      <c r="L776" s="14"/>
      <c r="M776" s="14"/>
      <c r="N776" s="14"/>
      <c r="O776" s="15"/>
      <c r="P776" s="15"/>
      <c r="Q776" s="15"/>
      <c r="R776" s="15"/>
      <c r="S776" s="15"/>
      <c r="T776" s="15"/>
      <c r="U776" s="15"/>
      <c r="V776" s="15"/>
      <c r="W776" s="15"/>
      <c r="X776" s="15"/>
      <c r="Y776" s="15"/>
      <c r="Z776" s="15"/>
      <c r="AA776" s="15"/>
    </row>
    <row r="777" spans="2:27" s="13" customFormat="1">
      <c r="B777" s="12"/>
      <c r="L777" s="14"/>
      <c r="M777" s="14"/>
      <c r="N777" s="14"/>
      <c r="O777" s="15"/>
      <c r="P777" s="15"/>
      <c r="Q777" s="15"/>
      <c r="R777" s="15"/>
      <c r="S777" s="15"/>
      <c r="T777" s="15"/>
      <c r="U777" s="15"/>
      <c r="V777" s="15"/>
      <c r="W777" s="15"/>
      <c r="X777" s="15"/>
      <c r="Y777" s="15"/>
      <c r="Z777" s="15"/>
      <c r="AA777" s="15"/>
    </row>
    <row r="778" spans="2:27" s="13" customFormat="1">
      <c r="B778" s="12"/>
      <c r="L778" s="14"/>
      <c r="M778" s="14"/>
      <c r="N778" s="14"/>
      <c r="O778" s="15"/>
      <c r="P778" s="15"/>
      <c r="Q778" s="15"/>
      <c r="R778" s="15"/>
      <c r="S778" s="15"/>
      <c r="T778" s="15"/>
      <c r="U778" s="15"/>
      <c r="V778" s="15"/>
      <c r="W778" s="15"/>
      <c r="X778" s="15"/>
      <c r="Y778" s="15"/>
      <c r="Z778" s="15"/>
      <c r="AA778" s="15"/>
    </row>
    <row r="779" spans="2:27" s="13" customFormat="1">
      <c r="B779" s="12"/>
      <c r="L779" s="14"/>
      <c r="M779" s="14"/>
      <c r="N779" s="14"/>
      <c r="O779" s="15"/>
      <c r="P779" s="15"/>
      <c r="Q779" s="15"/>
      <c r="R779" s="15"/>
      <c r="S779" s="15"/>
      <c r="T779" s="15"/>
      <c r="U779" s="15"/>
      <c r="V779" s="15"/>
      <c r="W779" s="15"/>
      <c r="X779" s="15"/>
      <c r="Y779" s="15"/>
      <c r="Z779" s="15"/>
      <c r="AA779" s="15"/>
    </row>
    <row r="780" spans="2:27" s="13" customFormat="1">
      <c r="B780" s="12"/>
      <c r="L780" s="14"/>
      <c r="M780" s="14"/>
      <c r="N780" s="14"/>
      <c r="O780" s="15"/>
      <c r="P780" s="15"/>
      <c r="Q780" s="15"/>
      <c r="R780" s="15"/>
      <c r="S780" s="15"/>
      <c r="T780" s="15"/>
      <c r="U780" s="15"/>
      <c r="V780" s="15"/>
      <c r="W780" s="15"/>
      <c r="X780" s="15"/>
      <c r="Y780" s="15"/>
      <c r="Z780" s="15"/>
      <c r="AA780" s="15"/>
    </row>
    <row r="781" spans="2:27" s="13" customFormat="1">
      <c r="B781" s="12"/>
      <c r="L781" s="14"/>
      <c r="M781" s="14"/>
      <c r="N781" s="14"/>
      <c r="O781" s="15"/>
      <c r="P781" s="15"/>
      <c r="Q781" s="15"/>
      <c r="R781" s="15"/>
      <c r="S781" s="15"/>
      <c r="T781" s="15"/>
      <c r="U781" s="15"/>
      <c r="V781" s="15"/>
      <c r="W781" s="15"/>
      <c r="X781" s="15"/>
      <c r="Y781" s="15"/>
      <c r="Z781" s="15"/>
      <c r="AA781" s="15"/>
    </row>
    <row r="782" spans="2:27" s="13" customFormat="1">
      <c r="B782" s="12"/>
      <c r="L782" s="14"/>
      <c r="M782" s="14"/>
      <c r="N782" s="14"/>
      <c r="O782" s="15"/>
      <c r="P782" s="15"/>
      <c r="Q782" s="15"/>
      <c r="R782" s="15"/>
      <c r="S782" s="15"/>
      <c r="T782" s="15"/>
      <c r="U782" s="15"/>
      <c r="V782" s="15"/>
      <c r="W782" s="15"/>
      <c r="X782" s="15"/>
      <c r="Y782" s="15"/>
      <c r="Z782" s="15"/>
      <c r="AA782" s="15"/>
    </row>
    <row r="783" spans="2:27" s="13" customFormat="1">
      <c r="B783" s="12"/>
      <c r="L783" s="14"/>
      <c r="M783" s="14"/>
      <c r="N783" s="14"/>
      <c r="O783" s="15"/>
      <c r="P783" s="15"/>
      <c r="Q783" s="15"/>
      <c r="R783" s="15"/>
      <c r="S783" s="15"/>
      <c r="T783" s="15"/>
      <c r="U783" s="15"/>
      <c r="V783" s="15"/>
      <c r="W783" s="15"/>
      <c r="X783" s="15"/>
      <c r="Y783" s="15"/>
      <c r="Z783" s="15"/>
      <c r="AA783" s="15"/>
    </row>
    <row r="784" spans="2:27" s="13" customFormat="1">
      <c r="B784" s="12"/>
      <c r="L784" s="14"/>
      <c r="M784" s="14"/>
      <c r="N784" s="14"/>
      <c r="O784" s="15"/>
      <c r="P784" s="15"/>
      <c r="Q784" s="15"/>
      <c r="R784" s="15"/>
      <c r="S784" s="15"/>
      <c r="T784" s="15"/>
      <c r="U784" s="15"/>
      <c r="V784" s="15"/>
      <c r="W784" s="15"/>
      <c r="X784" s="15"/>
      <c r="Y784" s="15"/>
      <c r="Z784" s="15"/>
      <c r="AA784" s="15"/>
    </row>
    <row r="785" spans="2:27" s="13" customFormat="1">
      <c r="B785" s="12"/>
      <c r="L785" s="14"/>
      <c r="M785" s="14"/>
      <c r="N785" s="14"/>
      <c r="O785" s="15"/>
      <c r="P785" s="15"/>
      <c r="Q785" s="15"/>
      <c r="R785" s="15"/>
      <c r="S785" s="15"/>
      <c r="T785" s="15"/>
      <c r="U785" s="15"/>
      <c r="V785" s="15"/>
      <c r="W785" s="15"/>
      <c r="X785" s="15"/>
      <c r="Y785" s="15"/>
      <c r="Z785" s="15"/>
      <c r="AA785" s="15"/>
    </row>
    <row r="786" spans="2:27" s="13" customFormat="1">
      <c r="B786" s="12"/>
      <c r="L786" s="14"/>
      <c r="M786" s="14"/>
      <c r="N786" s="14"/>
      <c r="O786" s="15"/>
      <c r="P786" s="15"/>
      <c r="Q786" s="15"/>
      <c r="R786" s="15"/>
      <c r="S786" s="15"/>
      <c r="T786" s="15"/>
      <c r="U786" s="15"/>
      <c r="V786" s="15"/>
      <c r="W786" s="15"/>
      <c r="X786" s="15"/>
      <c r="Y786" s="15"/>
      <c r="Z786" s="15"/>
      <c r="AA786" s="15"/>
    </row>
    <row r="787" spans="2:27" s="13" customFormat="1">
      <c r="B787" s="12"/>
      <c r="L787" s="14"/>
      <c r="M787" s="14"/>
      <c r="N787" s="14"/>
      <c r="O787" s="15"/>
      <c r="P787" s="15"/>
      <c r="Q787" s="15"/>
      <c r="R787" s="15"/>
      <c r="S787" s="15"/>
      <c r="T787" s="15"/>
      <c r="U787" s="15"/>
      <c r="V787" s="15"/>
      <c r="W787" s="15"/>
      <c r="X787" s="15"/>
      <c r="Y787" s="15"/>
      <c r="Z787" s="15"/>
      <c r="AA787" s="15"/>
    </row>
    <row r="788" spans="2:27" s="13" customFormat="1">
      <c r="B788" s="12"/>
      <c r="L788" s="14"/>
      <c r="M788" s="14"/>
      <c r="N788" s="14"/>
      <c r="O788" s="15"/>
      <c r="P788" s="15"/>
      <c r="Q788" s="15"/>
      <c r="R788" s="15"/>
      <c r="S788" s="15"/>
      <c r="T788" s="15"/>
      <c r="U788" s="15"/>
      <c r="V788" s="15"/>
      <c r="W788" s="15"/>
      <c r="X788" s="15"/>
      <c r="Y788" s="15"/>
      <c r="Z788" s="15"/>
      <c r="AA788" s="15"/>
    </row>
    <row r="789" spans="2:27" s="13" customFormat="1">
      <c r="B789" s="12"/>
      <c r="L789" s="14"/>
      <c r="M789" s="14"/>
      <c r="N789" s="14"/>
      <c r="O789" s="15"/>
      <c r="P789" s="15"/>
      <c r="Q789" s="15"/>
      <c r="R789" s="15"/>
      <c r="S789" s="15"/>
      <c r="T789" s="15"/>
      <c r="U789" s="15"/>
      <c r="V789" s="15"/>
      <c r="W789" s="15"/>
      <c r="X789" s="15"/>
      <c r="Y789" s="15"/>
      <c r="Z789" s="15"/>
      <c r="AA789" s="15"/>
    </row>
    <row r="790" spans="2:27" s="13" customFormat="1">
      <c r="B790" s="12"/>
      <c r="L790" s="14"/>
      <c r="M790" s="14"/>
      <c r="N790" s="14"/>
      <c r="O790" s="15"/>
      <c r="P790" s="15"/>
      <c r="Q790" s="15"/>
      <c r="R790" s="15"/>
      <c r="S790" s="15"/>
      <c r="T790" s="15"/>
      <c r="U790" s="15"/>
      <c r="V790" s="15"/>
      <c r="W790" s="15"/>
      <c r="X790" s="15"/>
      <c r="Y790" s="15"/>
      <c r="Z790" s="15"/>
      <c r="AA790" s="15"/>
    </row>
    <row r="791" spans="2:27" s="13" customFormat="1">
      <c r="B791" s="12"/>
      <c r="L791" s="14"/>
      <c r="M791" s="14"/>
      <c r="N791" s="14"/>
      <c r="O791" s="15"/>
      <c r="P791" s="15"/>
      <c r="Q791" s="15"/>
      <c r="R791" s="15"/>
      <c r="S791" s="15"/>
      <c r="T791" s="15"/>
      <c r="U791" s="15"/>
      <c r="V791" s="15"/>
      <c r="W791" s="15"/>
      <c r="X791" s="15"/>
      <c r="Y791" s="15"/>
      <c r="Z791" s="15"/>
      <c r="AA791" s="15"/>
    </row>
    <row r="792" spans="2:27" s="13" customFormat="1">
      <c r="B792" s="12"/>
      <c r="L792" s="14"/>
      <c r="M792" s="14"/>
      <c r="N792" s="14"/>
      <c r="O792" s="15"/>
      <c r="P792" s="15"/>
      <c r="Q792" s="15"/>
      <c r="R792" s="15"/>
      <c r="S792" s="15"/>
      <c r="T792" s="15"/>
      <c r="U792" s="15"/>
      <c r="V792" s="15"/>
      <c r="W792" s="15"/>
      <c r="X792" s="15"/>
      <c r="Y792" s="15"/>
      <c r="Z792" s="15"/>
      <c r="AA792" s="15"/>
    </row>
    <row r="793" spans="2:27" s="13" customFormat="1">
      <c r="B793" s="12"/>
      <c r="L793" s="14"/>
      <c r="M793" s="14"/>
      <c r="N793" s="14"/>
      <c r="O793" s="15"/>
      <c r="P793" s="15"/>
      <c r="Q793" s="15"/>
      <c r="R793" s="15"/>
      <c r="S793" s="15"/>
      <c r="T793" s="15"/>
      <c r="U793" s="15"/>
      <c r="V793" s="15"/>
      <c r="W793" s="15"/>
      <c r="X793" s="15"/>
      <c r="Y793" s="15"/>
      <c r="Z793" s="15"/>
      <c r="AA793" s="15"/>
    </row>
    <row r="794" spans="2:27" s="13" customFormat="1">
      <c r="B794" s="12"/>
      <c r="L794" s="14"/>
      <c r="M794" s="14"/>
      <c r="N794" s="14"/>
      <c r="O794" s="15"/>
      <c r="P794" s="15"/>
      <c r="Q794" s="15"/>
      <c r="R794" s="15"/>
      <c r="S794" s="15"/>
      <c r="T794" s="15"/>
      <c r="U794" s="15"/>
      <c r="V794" s="15"/>
      <c r="W794" s="15"/>
      <c r="X794" s="15"/>
      <c r="Y794" s="15"/>
      <c r="Z794" s="15"/>
      <c r="AA794" s="15"/>
    </row>
    <row r="795" spans="2:27" s="13" customFormat="1">
      <c r="B795" s="12"/>
      <c r="L795" s="14"/>
      <c r="M795" s="14"/>
      <c r="N795" s="14"/>
      <c r="O795" s="15"/>
      <c r="P795" s="15"/>
      <c r="Q795" s="15"/>
      <c r="R795" s="15"/>
      <c r="S795" s="15"/>
      <c r="T795" s="15"/>
      <c r="U795" s="15"/>
      <c r="V795" s="15"/>
      <c r="W795" s="15"/>
      <c r="X795" s="15"/>
      <c r="Y795" s="15"/>
      <c r="Z795" s="15"/>
      <c r="AA795" s="15"/>
    </row>
    <row r="796" spans="2:27" s="13" customFormat="1">
      <c r="B796" s="12"/>
      <c r="L796" s="14"/>
      <c r="M796" s="14"/>
      <c r="N796" s="14"/>
      <c r="O796" s="15"/>
      <c r="P796" s="15"/>
      <c r="Q796" s="15"/>
      <c r="R796" s="15"/>
      <c r="S796" s="15"/>
      <c r="T796" s="15"/>
      <c r="U796" s="15"/>
      <c r="V796" s="15"/>
      <c r="W796" s="15"/>
      <c r="X796" s="15"/>
      <c r="Y796" s="15"/>
      <c r="Z796" s="15"/>
      <c r="AA796" s="15"/>
    </row>
    <row r="797" spans="2:27" s="13" customFormat="1">
      <c r="B797" s="12"/>
      <c r="L797" s="14"/>
      <c r="M797" s="14"/>
      <c r="N797" s="14"/>
      <c r="O797" s="15"/>
      <c r="P797" s="15"/>
      <c r="Q797" s="15"/>
      <c r="R797" s="15"/>
      <c r="S797" s="15"/>
      <c r="T797" s="15"/>
      <c r="U797" s="15"/>
      <c r="V797" s="15"/>
      <c r="W797" s="15"/>
      <c r="X797" s="15"/>
      <c r="Y797" s="15"/>
      <c r="Z797" s="15"/>
      <c r="AA797" s="15"/>
    </row>
    <row r="798" spans="2:27" s="13" customFormat="1">
      <c r="B798" s="12"/>
      <c r="L798" s="14"/>
      <c r="M798" s="14"/>
      <c r="N798" s="14"/>
      <c r="O798" s="15"/>
      <c r="P798" s="15"/>
      <c r="Q798" s="15"/>
      <c r="R798" s="15"/>
      <c r="S798" s="15"/>
      <c r="T798" s="15"/>
      <c r="U798" s="15"/>
      <c r="V798" s="15"/>
      <c r="W798" s="15"/>
      <c r="X798" s="15"/>
      <c r="Y798" s="15"/>
      <c r="Z798" s="15"/>
      <c r="AA798" s="15"/>
    </row>
    <row r="799" spans="2:27" s="13" customFormat="1">
      <c r="B799" s="12"/>
      <c r="L799" s="14"/>
      <c r="M799" s="14"/>
      <c r="N799" s="14"/>
      <c r="O799" s="15"/>
      <c r="P799" s="15"/>
      <c r="Q799" s="15"/>
      <c r="R799" s="15"/>
      <c r="S799" s="15"/>
      <c r="T799" s="15"/>
      <c r="U799" s="15"/>
      <c r="V799" s="15"/>
      <c r="W799" s="15"/>
      <c r="X799" s="15"/>
      <c r="Y799" s="15"/>
      <c r="Z799" s="15"/>
      <c r="AA799" s="15"/>
    </row>
    <row r="800" spans="2:27" s="13" customFormat="1">
      <c r="B800" s="12"/>
      <c r="L800" s="14"/>
      <c r="M800" s="14"/>
      <c r="N800" s="14"/>
      <c r="O800" s="15"/>
      <c r="P800" s="15"/>
      <c r="Q800" s="15"/>
      <c r="R800" s="15"/>
      <c r="S800" s="15"/>
      <c r="T800" s="15"/>
      <c r="U800" s="15"/>
      <c r="V800" s="15"/>
      <c r="W800" s="15"/>
      <c r="X800" s="15"/>
      <c r="Y800" s="15"/>
      <c r="Z800" s="15"/>
      <c r="AA800" s="15"/>
    </row>
    <row r="801" spans="2:27" s="13" customFormat="1">
      <c r="B801" s="12"/>
      <c r="L801" s="14"/>
      <c r="M801" s="14"/>
      <c r="N801" s="14"/>
      <c r="O801" s="15"/>
      <c r="P801" s="15"/>
      <c r="Q801" s="15"/>
      <c r="R801" s="15"/>
      <c r="S801" s="15"/>
      <c r="T801" s="15"/>
      <c r="U801" s="15"/>
      <c r="V801" s="15"/>
      <c r="W801" s="15"/>
      <c r="X801" s="15"/>
      <c r="Y801" s="15"/>
      <c r="Z801" s="15"/>
      <c r="AA801" s="15"/>
    </row>
    <row r="802" spans="2:27" s="13" customFormat="1">
      <c r="B802" s="12"/>
      <c r="L802" s="14"/>
      <c r="M802" s="14"/>
      <c r="N802" s="14"/>
      <c r="O802" s="15"/>
      <c r="P802" s="15"/>
      <c r="Q802" s="15"/>
      <c r="R802" s="15"/>
      <c r="S802" s="15"/>
      <c r="T802" s="15"/>
      <c r="U802" s="15"/>
      <c r="V802" s="15"/>
      <c r="W802" s="15"/>
      <c r="X802" s="15"/>
      <c r="Y802" s="15"/>
      <c r="Z802" s="15"/>
      <c r="AA802" s="15"/>
    </row>
    <row r="803" spans="2:27" s="13" customFormat="1">
      <c r="B803" s="12"/>
      <c r="L803" s="14"/>
      <c r="M803" s="14"/>
      <c r="N803" s="14"/>
      <c r="O803" s="15"/>
      <c r="P803" s="15"/>
      <c r="Q803" s="15"/>
      <c r="R803" s="15"/>
      <c r="S803" s="15"/>
      <c r="T803" s="15"/>
      <c r="U803" s="15"/>
      <c r="V803" s="15"/>
      <c r="W803" s="15"/>
      <c r="X803" s="15"/>
      <c r="Y803" s="15"/>
      <c r="Z803" s="15"/>
      <c r="AA803" s="15"/>
    </row>
    <row r="804" spans="2:27" s="13" customFormat="1">
      <c r="B804" s="12"/>
      <c r="L804" s="14"/>
      <c r="M804" s="14"/>
      <c r="N804" s="14"/>
      <c r="O804" s="15"/>
      <c r="P804" s="15"/>
      <c r="Q804" s="15"/>
      <c r="R804" s="15"/>
      <c r="S804" s="15"/>
      <c r="T804" s="15"/>
      <c r="U804" s="15"/>
      <c r="V804" s="15"/>
      <c r="W804" s="15"/>
      <c r="X804" s="15"/>
      <c r="Y804" s="15"/>
      <c r="Z804" s="15"/>
      <c r="AA804" s="15"/>
    </row>
    <row r="805" spans="2:27" s="13" customFormat="1">
      <c r="B805" s="12"/>
      <c r="L805" s="14"/>
      <c r="M805" s="14"/>
      <c r="N805" s="14"/>
      <c r="O805" s="15"/>
      <c r="P805" s="15"/>
      <c r="Q805" s="15"/>
      <c r="R805" s="15"/>
      <c r="S805" s="15"/>
      <c r="T805" s="15"/>
      <c r="U805" s="15"/>
      <c r="V805" s="15"/>
      <c r="W805" s="15"/>
      <c r="X805" s="15"/>
      <c r="Y805" s="15"/>
      <c r="Z805" s="15"/>
      <c r="AA805" s="15"/>
    </row>
    <row r="806" spans="2:27" s="13" customFormat="1">
      <c r="B806" s="12"/>
      <c r="L806" s="14"/>
      <c r="M806" s="14"/>
      <c r="N806" s="14"/>
      <c r="O806" s="15"/>
      <c r="P806" s="15"/>
      <c r="Q806" s="15"/>
      <c r="R806" s="15"/>
      <c r="S806" s="15"/>
      <c r="T806" s="15"/>
      <c r="U806" s="15"/>
      <c r="V806" s="15"/>
      <c r="W806" s="15"/>
      <c r="X806" s="15"/>
      <c r="Y806" s="15"/>
      <c r="Z806" s="15"/>
      <c r="AA806" s="15"/>
    </row>
    <row r="807" spans="2:27" s="13" customFormat="1">
      <c r="B807" s="12"/>
      <c r="L807" s="14"/>
      <c r="M807" s="14"/>
      <c r="N807" s="14"/>
      <c r="O807" s="15"/>
      <c r="P807" s="15"/>
      <c r="Q807" s="15"/>
      <c r="R807" s="15"/>
      <c r="S807" s="15"/>
      <c r="T807" s="15"/>
      <c r="U807" s="15"/>
      <c r="V807" s="15"/>
      <c r="W807" s="15"/>
      <c r="X807" s="15"/>
      <c r="Y807" s="15"/>
      <c r="Z807" s="15"/>
      <c r="AA807" s="15"/>
    </row>
    <row r="808" spans="2:27" s="13" customFormat="1">
      <c r="B808" s="12"/>
      <c r="L808" s="14"/>
      <c r="M808" s="14"/>
      <c r="N808" s="14"/>
      <c r="O808" s="15"/>
      <c r="P808" s="15"/>
      <c r="Q808" s="15"/>
      <c r="R808" s="15"/>
      <c r="S808" s="15"/>
      <c r="T808" s="15"/>
      <c r="U808" s="15"/>
      <c r="V808" s="15"/>
      <c r="W808" s="15"/>
      <c r="X808" s="15"/>
      <c r="Y808" s="15"/>
      <c r="Z808" s="15"/>
      <c r="AA808" s="15"/>
    </row>
    <row r="809" spans="2:27" s="13" customFormat="1">
      <c r="B809" s="12"/>
      <c r="L809" s="14"/>
      <c r="M809" s="14"/>
      <c r="N809" s="14"/>
      <c r="O809" s="15"/>
      <c r="P809" s="15"/>
      <c r="Q809" s="15"/>
      <c r="R809" s="15"/>
      <c r="S809" s="15"/>
      <c r="T809" s="15"/>
      <c r="U809" s="15"/>
      <c r="V809" s="15"/>
      <c r="W809" s="15"/>
      <c r="X809" s="15"/>
      <c r="Y809" s="15"/>
      <c r="Z809" s="15"/>
      <c r="AA809" s="15"/>
    </row>
    <row r="810" spans="2:27" s="13" customFormat="1">
      <c r="B810" s="12"/>
      <c r="L810" s="14"/>
      <c r="M810" s="14"/>
      <c r="N810" s="14"/>
      <c r="O810" s="15"/>
      <c r="P810" s="15"/>
      <c r="Q810" s="15"/>
      <c r="R810" s="15"/>
      <c r="S810" s="15"/>
      <c r="T810" s="15"/>
      <c r="U810" s="15"/>
      <c r="V810" s="15"/>
      <c r="W810" s="15"/>
      <c r="X810" s="15"/>
      <c r="Y810" s="15"/>
      <c r="Z810" s="15"/>
      <c r="AA810" s="15"/>
    </row>
    <row r="811" spans="2:27" s="13" customFormat="1">
      <c r="B811" s="12"/>
      <c r="L811" s="14"/>
      <c r="M811" s="14"/>
      <c r="N811" s="14"/>
      <c r="O811" s="15"/>
      <c r="P811" s="15"/>
      <c r="Q811" s="15"/>
      <c r="R811" s="15"/>
      <c r="S811" s="15"/>
      <c r="T811" s="15"/>
      <c r="U811" s="15"/>
      <c r="V811" s="15"/>
      <c r="W811" s="15"/>
      <c r="X811" s="15"/>
      <c r="Y811" s="15"/>
      <c r="Z811" s="15"/>
      <c r="AA811" s="15"/>
    </row>
    <row r="812" spans="2:27" s="13" customFormat="1">
      <c r="B812" s="12"/>
      <c r="L812" s="14"/>
      <c r="M812" s="14"/>
      <c r="N812" s="14"/>
      <c r="O812" s="15"/>
      <c r="P812" s="15"/>
      <c r="Q812" s="15"/>
      <c r="R812" s="15"/>
      <c r="S812" s="15"/>
      <c r="T812" s="15"/>
      <c r="U812" s="15"/>
      <c r="V812" s="15"/>
      <c r="W812" s="15"/>
      <c r="X812" s="15"/>
      <c r="Y812" s="15"/>
      <c r="Z812" s="15"/>
      <c r="AA812" s="15"/>
    </row>
    <row r="813" spans="2:27" s="13" customFormat="1">
      <c r="B813" s="12"/>
      <c r="L813" s="14"/>
      <c r="M813" s="14"/>
      <c r="N813" s="14"/>
      <c r="O813" s="15"/>
      <c r="P813" s="15"/>
      <c r="Q813" s="15"/>
      <c r="R813" s="15"/>
      <c r="S813" s="15"/>
      <c r="T813" s="15"/>
      <c r="U813" s="15"/>
      <c r="V813" s="15"/>
      <c r="W813" s="15"/>
      <c r="X813" s="15"/>
      <c r="Y813" s="15"/>
      <c r="Z813" s="15"/>
      <c r="AA813" s="15"/>
    </row>
    <row r="814" spans="2:27" s="13" customFormat="1">
      <c r="B814" s="12"/>
      <c r="L814" s="14"/>
      <c r="M814" s="14"/>
      <c r="N814" s="14"/>
      <c r="O814" s="15"/>
      <c r="P814" s="15"/>
      <c r="Q814" s="15"/>
      <c r="R814" s="15"/>
      <c r="S814" s="15"/>
      <c r="T814" s="15"/>
      <c r="U814" s="15"/>
      <c r="V814" s="15"/>
      <c r="W814" s="15"/>
      <c r="X814" s="15"/>
      <c r="Y814" s="15"/>
      <c r="Z814" s="15"/>
      <c r="AA814" s="15"/>
    </row>
    <row r="815" spans="2:27" s="13" customFormat="1">
      <c r="B815" s="12"/>
      <c r="L815" s="14"/>
      <c r="M815" s="14"/>
      <c r="N815" s="14"/>
      <c r="O815" s="15"/>
      <c r="P815" s="15"/>
      <c r="Q815" s="15"/>
      <c r="R815" s="15"/>
      <c r="S815" s="15"/>
      <c r="T815" s="15"/>
      <c r="U815" s="15"/>
      <c r="V815" s="15"/>
      <c r="W815" s="15"/>
      <c r="X815" s="15"/>
      <c r="Y815" s="15"/>
      <c r="Z815" s="15"/>
      <c r="AA815" s="15"/>
    </row>
    <row r="816" spans="2:27" s="13" customFormat="1">
      <c r="B816" s="12"/>
      <c r="L816" s="14"/>
      <c r="M816" s="14"/>
      <c r="N816" s="14"/>
      <c r="O816" s="15"/>
      <c r="P816" s="15"/>
      <c r="Q816" s="15"/>
      <c r="R816" s="15"/>
      <c r="S816" s="15"/>
      <c r="T816" s="15"/>
      <c r="U816" s="15"/>
      <c r="V816" s="15"/>
      <c r="W816" s="15"/>
      <c r="X816" s="15"/>
      <c r="Y816" s="15"/>
      <c r="Z816" s="15"/>
      <c r="AA816" s="15"/>
    </row>
    <row r="817" spans="2:27" s="13" customFormat="1">
      <c r="B817" s="12"/>
      <c r="L817" s="14"/>
      <c r="M817" s="14"/>
      <c r="N817" s="14"/>
      <c r="O817" s="15"/>
      <c r="P817" s="15"/>
      <c r="Q817" s="15"/>
      <c r="R817" s="15"/>
      <c r="S817" s="15"/>
      <c r="T817" s="15"/>
      <c r="U817" s="15"/>
      <c r="V817" s="15"/>
      <c r="W817" s="15"/>
      <c r="X817" s="15"/>
      <c r="Y817" s="15"/>
      <c r="Z817" s="15"/>
      <c r="AA817" s="15"/>
    </row>
    <row r="818" spans="2:27" s="13" customFormat="1">
      <c r="B818" s="12"/>
      <c r="L818" s="14"/>
      <c r="M818" s="14"/>
      <c r="N818" s="14"/>
      <c r="O818" s="15"/>
      <c r="P818" s="15"/>
      <c r="Q818" s="15"/>
      <c r="R818" s="15"/>
      <c r="S818" s="15"/>
      <c r="T818" s="15"/>
      <c r="U818" s="15"/>
      <c r="V818" s="15"/>
      <c r="W818" s="15"/>
      <c r="X818" s="15"/>
      <c r="Y818" s="15"/>
      <c r="Z818" s="15"/>
      <c r="AA818" s="15"/>
    </row>
    <row r="819" spans="2:27" s="13" customFormat="1">
      <c r="B819" s="12"/>
      <c r="L819" s="14"/>
      <c r="M819" s="14"/>
      <c r="N819" s="14"/>
      <c r="O819" s="15"/>
      <c r="P819" s="15"/>
      <c r="Q819" s="15"/>
      <c r="R819" s="15"/>
      <c r="S819" s="15"/>
      <c r="T819" s="15"/>
      <c r="U819" s="15"/>
      <c r="V819" s="15"/>
      <c r="W819" s="15"/>
      <c r="X819" s="15"/>
      <c r="Y819" s="15"/>
      <c r="Z819" s="15"/>
      <c r="AA819" s="15"/>
    </row>
    <row r="820" spans="2:27" s="13" customFormat="1">
      <c r="B820" s="12"/>
      <c r="L820" s="14"/>
      <c r="M820" s="14"/>
      <c r="N820" s="14"/>
      <c r="O820" s="15"/>
      <c r="P820" s="15"/>
      <c r="Q820" s="15"/>
      <c r="R820" s="15"/>
      <c r="S820" s="15"/>
      <c r="T820" s="15"/>
      <c r="U820" s="15"/>
      <c r="V820" s="15"/>
      <c r="W820" s="15"/>
      <c r="X820" s="15"/>
      <c r="Y820" s="15"/>
      <c r="Z820" s="15"/>
      <c r="AA820" s="15"/>
    </row>
    <row r="821" spans="2:27" s="13" customFormat="1">
      <c r="B821" s="12"/>
      <c r="L821" s="14"/>
      <c r="M821" s="14"/>
      <c r="N821" s="14"/>
      <c r="O821" s="15"/>
      <c r="P821" s="15"/>
      <c r="Q821" s="15"/>
      <c r="R821" s="15"/>
      <c r="S821" s="15"/>
      <c r="T821" s="15"/>
      <c r="U821" s="15"/>
      <c r="V821" s="15"/>
      <c r="W821" s="15"/>
      <c r="X821" s="15"/>
      <c r="Y821" s="15"/>
      <c r="Z821" s="15"/>
      <c r="AA821" s="15"/>
    </row>
    <row r="822" spans="2:27" s="13" customFormat="1">
      <c r="B822" s="12"/>
      <c r="L822" s="14"/>
      <c r="M822" s="14"/>
      <c r="N822" s="14"/>
      <c r="O822" s="15"/>
      <c r="P822" s="15"/>
      <c r="Q822" s="15"/>
      <c r="R822" s="15"/>
      <c r="S822" s="15"/>
      <c r="T822" s="15"/>
      <c r="U822" s="15"/>
      <c r="V822" s="15"/>
      <c r="W822" s="15"/>
      <c r="X822" s="15"/>
      <c r="Y822" s="15"/>
      <c r="Z822" s="15"/>
      <c r="AA822" s="15"/>
    </row>
    <row r="823" spans="2:27" s="13" customFormat="1">
      <c r="B823" s="12"/>
      <c r="L823" s="14"/>
      <c r="M823" s="14"/>
      <c r="N823" s="14"/>
      <c r="O823" s="15"/>
      <c r="P823" s="15"/>
      <c r="Q823" s="15"/>
      <c r="R823" s="15"/>
      <c r="S823" s="15"/>
      <c r="T823" s="15"/>
      <c r="U823" s="15"/>
      <c r="V823" s="15"/>
      <c r="W823" s="15"/>
      <c r="X823" s="15"/>
      <c r="Y823" s="15"/>
      <c r="Z823" s="15"/>
      <c r="AA823" s="15"/>
    </row>
    <row r="824" spans="2:27" s="13" customFormat="1">
      <c r="B824" s="12"/>
      <c r="L824" s="14"/>
      <c r="M824" s="14"/>
      <c r="N824" s="14"/>
      <c r="O824" s="15"/>
      <c r="P824" s="15"/>
      <c r="Q824" s="15"/>
      <c r="R824" s="15"/>
      <c r="S824" s="15"/>
      <c r="T824" s="15"/>
      <c r="U824" s="15"/>
      <c r="V824" s="15"/>
      <c r="W824" s="15"/>
      <c r="X824" s="15"/>
      <c r="Y824" s="15"/>
      <c r="Z824" s="15"/>
      <c r="AA824" s="15"/>
    </row>
    <row r="825" spans="2:27" s="13" customFormat="1">
      <c r="B825" s="12"/>
      <c r="L825" s="14"/>
      <c r="M825" s="14"/>
      <c r="N825" s="14"/>
      <c r="O825" s="15"/>
      <c r="P825" s="15"/>
      <c r="Q825" s="15"/>
      <c r="R825" s="15"/>
      <c r="S825" s="15"/>
      <c r="T825" s="15"/>
      <c r="U825" s="15"/>
      <c r="V825" s="15"/>
      <c r="W825" s="15"/>
      <c r="X825" s="15"/>
      <c r="Y825" s="15"/>
      <c r="Z825" s="15"/>
      <c r="AA825" s="15"/>
    </row>
    <row r="826" spans="2:27" s="13" customFormat="1">
      <c r="B826" s="12"/>
      <c r="L826" s="14"/>
      <c r="M826" s="14"/>
      <c r="N826" s="14"/>
      <c r="O826" s="15"/>
      <c r="P826" s="15"/>
      <c r="Q826" s="15"/>
      <c r="R826" s="15"/>
      <c r="S826" s="15"/>
      <c r="T826" s="15"/>
      <c r="U826" s="15"/>
      <c r="V826" s="15"/>
      <c r="W826" s="15"/>
      <c r="X826" s="15"/>
      <c r="Y826" s="15"/>
      <c r="Z826" s="15"/>
      <c r="AA826" s="15"/>
    </row>
    <row r="827" spans="2:27" s="13" customFormat="1">
      <c r="B827" s="12"/>
      <c r="L827" s="14"/>
      <c r="M827" s="14"/>
      <c r="N827" s="14"/>
      <c r="O827" s="15"/>
      <c r="P827" s="15"/>
      <c r="Q827" s="15"/>
      <c r="R827" s="15"/>
      <c r="S827" s="15"/>
      <c r="T827" s="15"/>
      <c r="U827" s="15"/>
      <c r="V827" s="15"/>
      <c r="W827" s="15"/>
      <c r="X827" s="15"/>
      <c r="Y827" s="15"/>
      <c r="Z827" s="15"/>
      <c r="AA827" s="15"/>
    </row>
    <row r="828" spans="2:27" s="13" customFormat="1">
      <c r="B828" s="12"/>
      <c r="L828" s="14"/>
      <c r="M828" s="14"/>
      <c r="N828" s="14"/>
      <c r="O828" s="15"/>
      <c r="P828" s="15"/>
      <c r="Q828" s="15"/>
      <c r="R828" s="15"/>
      <c r="S828" s="15"/>
      <c r="T828" s="15"/>
      <c r="U828" s="15"/>
      <c r="V828" s="15"/>
      <c r="W828" s="15"/>
      <c r="X828" s="15"/>
      <c r="Y828" s="15"/>
      <c r="Z828" s="15"/>
      <c r="AA828" s="15"/>
    </row>
    <row r="829" spans="2:27" s="13" customFormat="1">
      <c r="B829" s="12"/>
      <c r="L829" s="14"/>
      <c r="M829" s="14"/>
      <c r="N829" s="14"/>
      <c r="O829" s="15"/>
      <c r="P829" s="15"/>
      <c r="Q829" s="15"/>
      <c r="R829" s="15"/>
      <c r="S829" s="15"/>
      <c r="T829" s="15"/>
      <c r="U829" s="15"/>
      <c r="V829" s="15"/>
      <c r="W829" s="15"/>
      <c r="X829" s="15"/>
      <c r="Y829" s="15"/>
      <c r="Z829" s="15"/>
      <c r="AA829" s="15"/>
    </row>
    <row r="830" spans="2:27" s="13" customFormat="1">
      <c r="B830" s="12"/>
      <c r="L830" s="14"/>
      <c r="M830" s="14"/>
      <c r="N830" s="14"/>
      <c r="O830" s="15"/>
      <c r="P830" s="15"/>
      <c r="Q830" s="15"/>
      <c r="R830" s="15"/>
      <c r="S830" s="15"/>
      <c r="T830" s="15"/>
      <c r="U830" s="15"/>
      <c r="V830" s="15"/>
      <c r="W830" s="15"/>
      <c r="X830" s="15"/>
      <c r="Y830" s="15"/>
      <c r="Z830" s="15"/>
      <c r="AA830" s="15"/>
    </row>
    <row r="831" spans="2:27" s="13" customFormat="1">
      <c r="B831" s="12"/>
      <c r="L831" s="14"/>
      <c r="M831" s="14"/>
      <c r="N831" s="14"/>
      <c r="O831" s="15"/>
      <c r="P831" s="15"/>
      <c r="Q831" s="15"/>
      <c r="R831" s="15"/>
      <c r="S831" s="15"/>
      <c r="T831" s="15"/>
      <c r="U831" s="15"/>
      <c r="V831" s="15"/>
      <c r="W831" s="15"/>
      <c r="X831" s="15"/>
      <c r="Y831" s="15"/>
      <c r="Z831" s="15"/>
      <c r="AA831" s="15"/>
    </row>
    <row r="832" spans="2:27" s="13" customFormat="1">
      <c r="B832" s="12"/>
      <c r="L832" s="14"/>
      <c r="M832" s="14"/>
      <c r="N832" s="14"/>
      <c r="O832" s="15"/>
      <c r="P832" s="15"/>
      <c r="Q832" s="15"/>
      <c r="R832" s="15"/>
      <c r="S832" s="15"/>
      <c r="T832" s="15"/>
      <c r="U832" s="15"/>
      <c r="V832" s="15"/>
      <c r="W832" s="15"/>
      <c r="X832" s="15"/>
      <c r="Y832" s="15"/>
      <c r="Z832" s="15"/>
      <c r="AA832" s="15"/>
    </row>
    <row r="833" spans="2:27" s="13" customFormat="1">
      <c r="B833" s="12"/>
      <c r="L833" s="14"/>
      <c r="M833" s="14"/>
      <c r="N833" s="14"/>
      <c r="O833" s="15"/>
      <c r="P833" s="15"/>
      <c r="Q833" s="15"/>
      <c r="R833" s="15"/>
      <c r="S833" s="15"/>
      <c r="T833" s="15"/>
      <c r="U833" s="15"/>
      <c r="V833" s="15"/>
      <c r="W833" s="15"/>
      <c r="X833" s="15"/>
      <c r="Y833" s="15"/>
      <c r="Z833" s="15"/>
      <c r="AA833" s="15"/>
    </row>
    <row r="834" spans="2:27" s="13" customFormat="1">
      <c r="B834" s="12"/>
      <c r="L834" s="14"/>
      <c r="M834" s="14"/>
      <c r="N834" s="14"/>
      <c r="O834" s="15"/>
      <c r="P834" s="15"/>
      <c r="Q834" s="15"/>
      <c r="R834" s="15"/>
      <c r="S834" s="15"/>
      <c r="T834" s="15"/>
      <c r="U834" s="15"/>
      <c r="V834" s="15"/>
      <c r="W834" s="15"/>
      <c r="X834" s="15"/>
      <c r="Y834" s="15"/>
      <c r="Z834" s="15"/>
      <c r="AA834" s="15"/>
    </row>
    <row r="835" spans="2:27" s="13" customFormat="1">
      <c r="B835" s="12"/>
      <c r="L835" s="14"/>
      <c r="M835" s="14"/>
      <c r="N835" s="14"/>
      <c r="O835" s="15"/>
      <c r="P835" s="15"/>
      <c r="Q835" s="15"/>
      <c r="R835" s="15"/>
      <c r="S835" s="15"/>
      <c r="T835" s="15"/>
      <c r="U835" s="15"/>
      <c r="V835" s="15"/>
      <c r="W835" s="15"/>
      <c r="X835" s="15"/>
      <c r="Y835" s="15"/>
      <c r="Z835" s="15"/>
      <c r="AA835" s="15"/>
    </row>
    <row r="836" spans="2:27" s="13" customFormat="1">
      <c r="B836" s="12"/>
      <c r="L836" s="14"/>
      <c r="M836" s="14"/>
      <c r="N836" s="14"/>
      <c r="O836" s="15"/>
      <c r="P836" s="15"/>
      <c r="Q836" s="15"/>
      <c r="R836" s="15"/>
      <c r="S836" s="15"/>
      <c r="T836" s="15"/>
      <c r="U836" s="15"/>
      <c r="V836" s="15"/>
      <c r="W836" s="15"/>
      <c r="X836" s="15"/>
      <c r="Y836" s="15"/>
      <c r="Z836" s="15"/>
      <c r="AA836" s="15"/>
    </row>
    <row r="837" spans="2:27" s="13" customFormat="1">
      <c r="B837" s="12"/>
      <c r="L837" s="14"/>
      <c r="M837" s="14"/>
      <c r="N837" s="14"/>
      <c r="O837" s="15"/>
      <c r="P837" s="15"/>
      <c r="Q837" s="15"/>
      <c r="R837" s="15"/>
      <c r="S837" s="15"/>
      <c r="T837" s="15"/>
      <c r="U837" s="15"/>
      <c r="V837" s="15"/>
      <c r="W837" s="15"/>
      <c r="X837" s="15"/>
      <c r="Y837" s="15"/>
      <c r="Z837" s="15"/>
      <c r="AA837" s="15"/>
    </row>
    <row r="838" spans="2:27" s="13" customFormat="1">
      <c r="B838" s="12"/>
      <c r="L838" s="14"/>
      <c r="M838" s="14"/>
      <c r="N838" s="14"/>
      <c r="O838" s="15"/>
      <c r="P838" s="15"/>
      <c r="Q838" s="15"/>
      <c r="R838" s="15"/>
      <c r="S838" s="15"/>
      <c r="T838" s="15"/>
      <c r="U838" s="15"/>
      <c r="V838" s="15"/>
      <c r="W838" s="15"/>
      <c r="X838" s="15"/>
      <c r="Y838" s="15"/>
      <c r="Z838" s="15"/>
      <c r="AA838" s="15"/>
    </row>
    <row r="839" spans="2:27" s="13" customFormat="1">
      <c r="B839" s="12"/>
      <c r="L839" s="14"/>
      <c r="M839" s="14"/>
      <c r="N839" s="14"/>
      <c r="O839" s="15"/>
      <c r="P839" s="15"/>
      <c r="Q839" s="15"/>
      <c r="R839" s="15"/>
      <c r="S839" s="15"/>
      <c r="T839" s="15"/>
      <c r="U839" s="15"/>
      <c r="V839" s="15"/>
      <c r="W839" s="15"/>
      <c r="X839" s="15"/>
      <c r="Y839" s="15"/>
      <c r="Z839" s="15"/>
      <c r="AA839" s="15"/>
    </row>
    <row r="840" spans="2:27" s="13" customFormat="1">
      <c r="B840" s="12"/>
      <c r="L840" s="14"/>
      <c r="M840" s="14"/>
      <c r="N840" s="14"/>
      <c r="O840" s="15"/>
      <c r="P840" s="15"/>
      <c r="Q840" s="15"/>
      <c r="R840" s="15"/>
      <c r="S840" s="15"/>
      <c r="T840" s="15"/>
      <c r="U840" s="15"/>
      <c r="V840" s="15"/>
      <c r="W840" s="15"/>
      <c r="X840" s="15"/>
      <c r="Y840" s="15"/>
      <c r="Z840" s="15"/>
      <c r="AA840" s="15"/>
    </row>
    <row r="841" spans="2:27" s="13" customFormat="1">
      <c r="B841" s="12"/>
      <c r="L841" s="14"/>
      <c r="M841" s="14"/>
      <c r="N841" s="14"/>
      <c r="O841" s="15"/>
      <c r="P841" s="15"/>
      <c r="Q841" s="15"/>
      <c r="R841" s="15"/>
      <c r="S841" s="15"/>
      <c r="T841" s="15"/>
      <c r="U841" s="15"/>
      <c r="V841" s="15"/>
      <c r="W841" s="15"/>
      <c r="X841" s="15"/>
      <c r="Y841" s="15"/>
      <c r="Z841" s="15"/>
      <c r="AA841" s="15"/>
    </row>
    <row r="842" spans="2:27" s="13" customFormat="1">
      <c r="B842" s="12"/>
      <c r="L842" s="14"/>
      <c r="M842" s="14"/>
      <c r="N842" s="14"/>
      <c r="O842" s="15"/>
      <c r="P842" s="15"/>
      <c r="Q842" s="15"/>
      <c r="R842" s="15"/>
      <c r="S842" s="15"/>
      <c r="T842" s="15"/>
      <c r="U842" s="15"/>
      <c r="V842" s="15"/>
      <c r="W842" s="15"/>
      <c r="X842" s="15"/>
      <c r="Y842" s="15"/>
      <c r="Z842" s="15"/>
      <c r="AA842" s="15"/>
    </row>
    <row r="843" spans="2:27" s="13" customFormat="1">
      <c r="B843" s="12"/>
      <c r="L843" s="14"/>
      <c r="M843" s="14"/>
      <c r="N843" s="14"/>
      <c r="O843" s="15"/>
      <c r="P843" s="15"/>
      <c r="Q843" s="15"/>
      <c r="R843" s="15"/>
      <c r="S843" s="15"/>
      <c r="T843" s="15"/>
      <c r="U843" s="15"/>
      <c r="V843" s="15"/>
      <c r="W843" s="15"/>
      <c r="X843" s="15"/>
      <c r="Y843" s="15"/>
      <c r="Z843" s="15"/>
      <c r="AA843" s="15"/>
    </row>
    <row r="844" spans="2:27" s="13" customFormat="1">
      <c r="B844" s="12"/>
      <c r="L844" s="14"/>
      <c r="M844" s="14"/>
      <c r="N844" s="14"/>
      <c r="O844" s="15"/>
      <c r="P844" s="15"/>
      <c r="Q844" s="15"/>
      <c r="R844" s="15"/>
      <c r="S844" s="15"/>
      <c r="T844" s="15"/>
      <c r="U844" s="15"/>
      <c r="V844" s="15"/>
      <c r="W844" s="15"/>
      <c r="X844" s="15"/>
      <c r="Y844" s="15"/>
      <c r="Z844" s="15"/>
      <c r="AA844" s="15"/>
    </row>
    <row r="845" spans="2:27" s="13" customFormat="1">
      <c r="B845" s="12"/>
      <c r="L845" s="14"/>
      <c r="M845" s="14"/>
      <c r="N845" s="14"/>
      <c r="O845" s="15"/>
      <c r="P845" s="15"/>
      <c r="Q845" s="15"/>
      <c r="R845" s="15"/>
      <c r="S845" s="15"/>
      <c r="T845" s="15"/>
      <c r="U845" s="15"/>
      <c r="V845" s="15"/>
      <c r="W845" s="15"/>
      <c r="X845" s="15"/>
      <c r="Y845" s="15"/>
      <c r="Z845" s="15"/>
      <c r="AA845" s="15"/>
    </row>
    <row r="846" spans="2:27" s="13" customFormat="1">
      <c r="B846" s="12"/>
      <c r="L846" s="14"/>
      <c r="M846" s="14"/>
      <c r="N846" s="14"/>
      <c r="O846" s="15"/>
      <c r="P846" s="15"/>
      <c r="Q846" s="15"/>
      <c r="R846" s="15"/>
      <c r="S846" s="15"/>
      <c r="T846" s="15"/>
      <c r="U846" s="15"/>
      <c r="V846" s="15"/>
      <c r="W846" s="15"/>
      <c r="X846" s="15"/>
      <c r="Y846" s="15"/>
      <c r="Z846" s="15"/>
      <c r="AA846" s="15"/>
    </row>
    <row r="847" spans="2:27" s="13" customFormat="1">
      <c r="B847" s="12"/>
      <c r="L847" s="14"/>
      <c r="M847" s="14"/>
      <c r="N847" s="14"/>
      <c r="O847" s="15"/>
      <c r="P847" s="15"/>
      <c r="Q847" s="15"/>
      <c r="R847" s="15"/>
      <c r="S847" s="15"/>
      <c r="T847" s="15"/>
      <c r="U847" s="15"/>
      <c r="V847" s="15"/>
      <c r="W847" s="15"/>
      <c r="X847" s="15"/>
      <c r="Y847" s="15"/>
      <c r="Z847" s="15"/>
      <c r="AA847" s="15"/>
    </row>
    <row r="848" spans="2:27" s="13" customFormat="1">
      <c r="B848" s="12"/>
      <c r="L848" s="14"/>
      <c r="M848" s="14"/>
      <c r="N848" s="14"/>
      <c r="O848" s="15"/>
      <c r="P848" s="15"/>
      <c r="Q848" s="15"/>
      <c r="R848" s="15"/>
      <c r="S848" s="15"/>
      <c r="T848" s="15"/>
      <c r="U848" s="15"/>
      <c r="V848" s="15"/>
      <c r="W848" s="15"/>
      <c r="X848" s="15"/>
      <c r="Y848" s="15"/>
      <c r="Z848" s="15"/>
      <c r="AA848" s="15"/>
    </row>
    <row r="849" spans="2:27" s="13" customFormat="1">
      <c r="B849" s="12"/>
      <c r="L849" s="14"/>
      <c r="M849" s="14"/>
      <c r="N849" s="14"/>
      <c r="O849" s="15"/>
      <c r="P849" s="15"/>
      <c r="Q849" s="15"/>
      <c r="R849" s="15"/>
      <c r="S849" s="15"/>
      <c r="T849" s="15"/>
      <c r="U849" s="15"/>
      <c r="V849" s="15"/>
      <c r="W849" s="15"/>
      <c r="X849" s="15"/>
      <c r="Y849" s="15"/>
      <c r="Z849" s="15"/>
      <c r="AA849" s="15"/>
    </row>
    <row r="850" spans="2:27" s="13" customFormat="1">
      <c r="B850" s="12"/>
      <c r="L850" s="14"/>
      <c r="M850" s="14"/>
      <c r="N850" s="14"/>
      <c r="O850" s="15"/>
      <c r="P850" s="15"/>
      <c r="Q850" s="15"/>
      <c r="R850" s="15"/>
      <c r="S850" s="15"/>
      <c r="T850" s="15"/>
      <c r="U850" s="15"/>
      <c r="V850" s="15"/>
      <c r="W850" s="15"/>
      <c r="X850" s="15"/>
      <c r="Y850" s="15"/>
      <c r="Z850" s="15"/>
      <c r="AA850" s="15"/>
    </row>
    <row r="851" spans="2:27" s="13" customFormat="1">
      <c r="B851" s="12"/>
      <c r="L851" s="14"/>
      <c r="M851" s="14"/>
      <c r="N851" s="14"/>
      <c r="O851" s="15"/>
      <c r="P851" s="15"/>
      <c r="Q851" s="15"/>
      <c r="R851" s="15"/>
      <c r="S851" s="15"/>
      <c r="T851" s="15"/>
      <c r="U851" s="15"/>
      <c r="V851" s="15"/>
      <c r="W851" s="15"/>
      <c r="X851" s="15"/>
      <c r="Y851" s="15"/>
      <c r="Z851" s="15"/>
      <c r="AA851" s="15"/>
    </row>
    <row r="852" spans="2:27" s="13" customFormat="1">
      <c r="B852" s="12"/>
      <c r="L852" s="14"/>
      <c r="M852" s="14"/>
      <c r="N852" s="14"/>
      <c r="O852" s="15"/>
      <c r="P852" s="15"/>
      <c r="Q852" s="15"/>
      <c r="R852" s="15"/>
      <c r="S852" s="15"/>
      <c r="T852" s="15"/>
      <c r="U852" s="15"/>
      <c r="V852" s="15"/>
      <c r="W852" s="15"/>
      <c r="X852" s="15"/>
      <c r="Y852" s="15"/>
      <c r="Z852" s="15"/>
      <c r="AA852" s="15"/>
    </row>
    <row r="853" spans="2:27" s="13" customFormat="1">
      <c r="B853" s="12"/>
      <c r="L853" s="14"/>
      <c r="M853" s="14"/>
      <c r="N853" s="14"/>
      <c r="O853" s="15"/>
      <c r="P853" s="15"/>
      <c r="Q853" s="15"/>
      <c r="R853" s="15"/>
      <c r="S853" s="15"/>
      <c r="T853" s="15"/>
      <c r="U853" s="15"/>
      <c r="V853" s="15"/>
      <c r="W853" s="15"/>
      <c r="X853" s="15"/>
      <c r="Y853" s="15"/>
      <c r="Z853" s="15"/>
      <c r="AA853" s="15"/>
    </row>
    <row r="854" spans="2:27" s="13" customFormat="1">
      <c r="B854" s="12"/>
      <c r="L854" s="14"/>
      <c r="M854" s="14"/>
      <c r="N854" s="14"/>
      <c r="O854" s="15"/>
      <c r="P854" s="15"/>
      <c r="Q854" s="15"/>
      <c r="R854" s="15"/>
      <c r="S854" s="15"/>
      <c r="T854" s="15"/>
      <c r="U854" s="15"/>
      <c r="V854" s="15"/>
      <c r="W854" s="15"/>
      <c r="X854" s="15"/>
      <c r="Y854" s="15"/>
      <c r="Z854" s="15"/>
      <c r="AA854" s="15"/>
    </row>
    <row r="855" spans="2:27" s="13" customFormat="1">
      <c r="B855" s="12"/>
      <c r="L855" s="14"/>
      <c r="M855" s="14"/>
      <c r="N855" s="14"/>
      <c r="O855" s="15"/>
      <c r="P855" s="15"/>
      <c r="Q855" s="15"/>
      <c r="R855" s="15"/>
      <c r="S855" s="15"/>
      <c r="T855" s="15"/>
      <c r="U855" s="15"/>
      <c r="V855" s="15"/>
      <c r="W855" s="15"/>
      <c r="X855" s="15"/>
      <c r="Y855" s="15"/>
      <c r="Z855" s="15"/>
      <c r="AA855" s="15"/>
    </row>
    <row r="856" spans="2:27" s="13" customFormat="1">
      <c r="B856" s="12"/>
      <c r="L856" s="14"/>
      <c r="M856" s="14"/>
      <c r="N856" s="14"/>
      <c r="O856" s="15"/>
      <c r="P856" s="15"/>
      <c r="Q856" s="15"/>
      <c r="R856" s="15"/>
      <c r="S856" s="15"/>
      <c r="T856" s="15"/>
      <c r="U856" s="15"/>
      <c r="V856" s="15"/>
      <c r="W856" s="15"/>
      <c r="X856" s="15"/>
      <c r="Y856" s="15"/>
      <c r="Z856" s="15"/>
      <c r="AA856" s="15"/>
    </row>
    <row r="857" spans="2:27" s="13" customFormat="1">
      <c r="B857" s="12"/>
      <c r="L857" s="14"/>
      <c r="M857" s="14"/>
      <c r="N857" s="14"/>
      <c r="O857" s="15"/>
      <c r="P857" s="15"/>
      <c r="Q857" s="15"/>
      <c r="R857" s="15"/>
      <c r="S857" s="15"/>
      <c r="T857" s="15"/>
      <c r="U857" s="15"/>
      <c r="V857" s="15"/>
      <c r="W857" s="15"/>
      <c r="X857" s="15"/>
      <c r="Y857" s="15"/>
      <c r="Z857" s="15"/>
      <c r="AA857" s="15"/>
    </row>
    <row r="858" spans="2:27" s="13" customFormat="1">
      <c r="B858" s="12"/>
      <c r="L858" s="14"/>
      <c r="M858" s="14"/>
      <c r="N858" s="14"/>
      <c r="O858" s="15"/>
      <c r="P858" s="15"/>
      <c r="Q858" s="15"/>
      <c r="R858" s="15"/>
      <c r="S858" s="15"/>
      <c r="T858" s="15"/>
      <c r="U858" s="15"/>
      <c r="V858" s="15"/>
      <c r="W858" s="15"/>
      <c r="X858" s="15"/>
      <c r="Y858" s="15"/>
      <c r="Z858" s="15"/>
      <c r="AA858" s="15"/>
    </row>
    <row r="859" spans="2:27" s="13" customFormat="1">
      <c r="B859" s="12"/>
      <c r="L859" s="14"/>
      <c r="M859" s="14"/>
      <c r="N859" s="14"/>
      <c r="O859" s="15"/>
      <c r="P859" s="15"/>
      <c r="Q859" s="15"/>
      <c r="R859" s="15"/>
      <c r="S859" s="15"/>
      <c r="T859" s="15"/>
      <c r="U859" s="15"/>
      <c r="V859" s="15"/>
      <c r="W859" s="15"/>
      <c r="X859" s="15"/>
      <c r="Y859" s="15"/>
      <c r="Z859" s="15"/>
      <c r="AA859" s="15"/>
    </row>
    <row r="860" spans="2:27" s="13" customFormat="1">
      <c r="B860" s="12"/>
      <c r="L860" s="14"/>
      <c r="M860" s="14"/>
      <c r="N860" s="14"/>
      <c r="O860" s="15"/>
      <c r="P860" s="15"/>
      <c r="Q860" s="15"/>
      <c r="R860" s="15"/>
      <c r="S860" s="15"/>
      <c r="T860" s="15"/>
      <c r="U860" s="15"/>
      <c r="V860" s="15"/>
      <c r="W860" s="15"/>
      <c r="X860" s="15"/>
      <c r="Y860" s="15"/>
      <c r="Z860" s="15"/>
      <c r="AA860" s="15"/>
    </row>
    <row r="861" spans="2:27" s="13" customFormat="1">
      <c r="B861" s="12"/>
      <c r="L861" s="14"/>
      <c r="M861" s="14"/>
      <c r="N861" s="14"/>
      <c r="O861" s="15"/>
      <c r="P861" s="15"/>
      <c r="Q861" s="15"/>
      <c r="R861" s="15"/>
      <c r="S861" s="15"/>
      <c r="T861" s="15"/>
      <c r="U861" s="15"/>
      <c r="V861" s="15"/>
      <c r="W861" s="15"/>
      <c r="X861" s="15"/>
      <c r="Y861" s="15"/>
      <c r="Z861" s="15"/>
      <c r="AA861" s="15"/>
    </row>
    <row r="862" spans="2:27" s="13" customFormat="1">
      <c r="B862" s="12"/>
      <c r="L862" s="14"/>
      <c r="M862" s="14"/>
      <c r="N862" s="14"/>
      <c r="O862" s="15"/>
      <c r="P862" s="15"/>
      <c r="Q862" s="15"/>
      <c r="R862" s="15"/>
      <c r="S862" s="15"/>
      <c r="T862" s="15"/>
      <c r="U862" s="15"/>
      <c r="V862" s="15"/>
      <c r="W862" s="15"/>
      <c r="X862" s="15"/>
      <c r="Y862" s="15"/>
      <c r="Z862" s="15"/>
      <c r="AA862" s="15"/>
    </row>
    <row r="863" spans="2:27" s="13" customFormat="1">
      <c r="B863" s="12"/>
      <c r="L863" s="14"/>
      <c r="M863" s="14"/>
      <c r="N863" s="14"/>
      <c r="O863" s="15"/>
      <c r="P863" s="15"/>
      <c r="Q863" s="15"/>
      <c r="R863" s="15"/>
      <c r="S863" s="15"/>
      <c r="T863" s="15"/>
      <c r="U863" s="15"/>
      <c r="V863" s="15"/>
      <c r="W863" s="15"/>
      <c r="X863" s="15"/>
      <c r="Y863" s="15"/>
      <c r="Z863" s="15"/>
      <c r="AA863" s="15"/>
    </row>
    <row r="864" spans="2:27" s="13" customFormat="1">
      <c r="B864" s="12"/>
      <c r="L864" s="14"/>
      <c r="M864" s="14"/>
      <c r="N864" s="14"/>
      <c r="O864" s="15"/>
      <c r="P864" s="15"/>
      <c r="Q864" s="15"/>
      <c r="R864" s="15"/>
      <c r="S864" s="15"/>
      <c r="T864" s="15"/>
      <c r="U864" s="15"/>
      <c r="V864" s="15"/>
      <c r="W864" s="15"/>
      <c r="X864" s="15"/>
      <c r="Y864" s="15"/>
      <c r="Z864" s="15"/>
      <c r="AA864" s="15"/>
    </row>
    <row r="865" spans="2:27" s="13" customFormat="1">
      <c r="B865" s="12"/>
      <c r="L865" s="14"/>
      <c r="M865" s="14"/>
      <c r="N865" s="14"/>
      <c r="O865" s="15"/>
      <c r="P865" s="15"/>
      <c r="Q865" s="15"/>
      <c r="R865" s="15"/>
      <c r="S865" s="15"/>
      <c r="T865" s="15"/>
      <c r="U865" s="15"/>
      <c r="V865" s="15"/>
      <c r="W865" s="15"/>
      <c r="X865" s="15"/>
      <c r="Y865" s="15"/>
      <c r="Z865" s="15"/>
      <c r="AA865" s="15"/>
    </row>
    <row r="866" spans="2:27" s="13" customFormat="1">
      <c r="B866" s="12"/>
      <c r="L866" s="14"/>
      <c r="M866" s="14"/>
      <c r="N866" s="14"/>
      <c r="O866" s="15"/>
      <c r="P866" s="15"/>
      <c r="Q866" s="15"/>
      <c r="R866" s="15"/>
      <c r="S866" s="15"/>
      <c r="T866" s="15"/>
      <c r="U866" s="15"/>
      <c r="V866" s="15"/>
      <c r="W866" s="15"/>
      <c r="X866" s="15"/>
      <c r="Y866" s="15"/>
      <c r="Z866" s="15"/>
      <c r="AA866" s="15"/>
    </row>
    <row r="867" spans="2:27" s="13" customFormat="1">
      <c r="B867" s="12"/>
      <c r="L867" s="14"/>
      <c r="M867" s="14"/>
      <c r="N867" s="14"/>
      <c r="O867" s="15"/>
      <c r="P867" s="15"/>
      <c r="Q867" s="15"/>
      <c r="R867" s="15"/>
      <c r="S867" s="15"/>
      <c r="T867" s="15"/>
      <c r="U867" s="15"/>
      <c r="V867" s="15"/>
      <c r="W867" s="15"/>
      <c r="X867" s="15"/>
      <c r="Y867" s="15"/>
      <c r="Z867" s="15"/>
      <c r="AA867" s="15"/>
    </row>
    <row r="868" spans="2:27" s="13" customFormat="1">
      <c r="B868" s="12"/>
      <c r="L868" s="14"/>
      <c r="M868" s="14"/>
      <c r="N868" s="14"/>
      <c r="O868" s="15"/>
      <c r="P868" s="15"/>
      <c r="Q868" s="15"/>
      <c r="R868" s="15"/>
      <c r="S868" s="15"/>
      <c r="T868" s="15"/>
      <c r="U868" s="15"/>
      <c r="V868" s="15"/>
      <c r="W868" s="15"/>
      <c r="X868" s="15"/>
      <c r="Y868" s="15"/>
      <c r="Z868" s="15"/>
      <c r="AA868" s="15"/>
    </row>
    <row r="869" spans="2:27" s="13" customFormat="1">
      <c r="B869" s="12"/>
      <c r="L869" s="14"/>
      <c r="M869" s="14"/>
      <c r="N869" s="14"/>
      <c r="O869" s="15"/>
      <c r="P869" s="15"/>
      <c r="Q869" s="15"/>
      <c r="R869" s="15"/>
      <c r="S869" s="15"/>
      <c r="T869" s="15"/>
      <c r="U869" s="15"/>
      <c r="V869" s="15"/>
      <c r="W869" s="15"/>
      <c r="X869" s="15"/>
      <c r="Y869" s="15"/>
      <c r="Z869" s="15"/>
      <c r="AA869" s="15"/>
    </row>
    <row r="870" spans="2:27" s="13" customFormat="1">
      <c r="B870" s="12"/>
      <c r="L870" s="14"/>
      <c r="M870" s="14"/>
      <c r="N870" s="14"/>
      <c r="O870" s="15"/>
      <c r="P870" s="15"/>
      <c r="Q870" s="15"/>
      <c r="R870" s="15"/>
      <c r="S870" s="15"/>
      <c r="T870" s="15"/>
      <c r="U870" s="15"/>
      <c r="V870" s="15"/>
      <c r="W870" s="15"/>
      <c r="X870" s="15"/>
      <c r="Y870" s="15"/>
      <c r="Z870" s="15"/>
      <c r="AA870" s="15"/>
    </row>
    <row r="871" spans="2:27" s="13" customFormat="1">
      <c r="B871" s="12"/>
      <c r="L871" s="14"/>
      <c r="M871" s="14"/>
      <c r="N871" s="14"/>
      <c r="O871" s="15"/>
      <c r="P871" s="15"/>
      <c r="Q871" s="15"/>
      <c r="R871" s="15"/>
      <c r="S871" s="15"/>
      <c r="T871" s="15"/>
      <c r="U871" s="15"/>
      <c r="V871" s="15"/>
      <c r="W871" s="15"/>
      <c r="X871" s="15"/>
      <c r="Y871" s="15"/>
      <c r="Z871" s="15"/>
      <c r="AA871" s="15"/>
    </row>
    <row r="872" spans="2:27" s="13" customFormat="1">
      <c r="B872" s="12"/>
      <c r="L872" s="14"/>
      <c r="M872" s="14"/>
      <c r="N872" s="14"/>
      <c r="O872" s="15"/>
      <c r="P872" s="15"/>
      <c r="Q872" s="15"/>
      <c r="R872" s="15"/>
      <c r="S872" s="15"/>
      <c r="T872" s="15"/>
      <c r="U872" s="15"/>
      <c r="V872" s="15"/>
      <c r="W872" s="15"/>
      <c r="X872" s="15"/>
      <c r="Y872" s="15"/>
      <c r="Z872" s="15"/>
      <c r="AA872" s="15"/>
    </row>
    <row r="873" spans="2:27" s="13" customFormat="1">
      <c r="B873" s="12"/>
      <c r="L873" s="14"/>
      <c r="M873" s="14"/>
      <c r="N873" s="14"/>
      <c r="O873" s="15"/>
      <c r="P873" s="15"/>
      <c r="Q873" s="15"/>
      <c r="R873" s="15"/>
      <c r="S873" s="15"/>
      <c r="T873" s="15"/>
      <c r="U873" s="15"/>
      <c r="V873" s="15"/>
      <c r="W873" s="15"/>
      <c r="X873" s="15"/>
      <c r="Y873" s="15"/>
      <c r="Z873" s="15"/>
      <c r="AA873" s="15"/>
    </row>
    <row r="874" spans="2:27" s="13" customFormat="1">
      <c r="B874" s="12"/>
      <c r="L874" s="14"/>
      <c r="M874" s="14"/>
      <c r="N874" s="14"/>
      <c r="O874" s="15"/>
      <c r="P874" s="15"/>
      <c r="Q874" s="15"/>
      <c r="R874" s="15"/>
      <c r="S874" s="15"/>
      <c r="T874" s="15"/>
      <c r="U874" s="15"/>
      <c r="V874" s="15"/>
      <c r="W874" s="15"/>
      <c r="X874" s="15"/>
      <c r="Y874" s="15"/>
      <c r="Z874" s="15"/>
      <c r="AA874" s="15"/>
    </row>
    <row r="875" spans="2:27" s="13" customFormat="1">
      <c r="B875" s="12"/>
      <c r="L875" s="14"/>
      <c r="M875" s="14"/>
      <c r="N875" s="14"/>
      <c r="O875" s="15"/>
      <c r="P875" s="15"/>
      <c r="Q875" s="15"/>
      <c r="R875" s="15"/>
      <c r="S875" s="15"/>
      <c r="T875" s="15"/>
      <c r="U875" s="15"/>
      <c r="V875" s="15"/>
      <c r="W875" s="15"/>
      <c r="X875" s="15"/>
      <c r="Y875" s="15"/>
      <c r="Z875" s="15"/>
      <c r="AA875" s="15"/>
    </row>
    <row r="876" spans="2:27" s="13" customFormat="1">
      <c r="B876" s="12"/>
      <c r="L876" s="14"/>
      <c r="M876" s="14"/>
      <c r="N876" s="14"/>
      <c r="O876" s="15"/>
      <c r="P876" s="15"/>
      <c r="Q876" s="15"/>
      <c r="R876" s="15"/>
      <c r="S876" s="15"/>
      <c r="T876" s="15"/>
      <c r="U876" s="15"/>
      <c r="V876" s="15"/>
      <c r="W876" s="15"/>
      <c r="X876" s="15"/>
      <c r="Y876" s="15"/>
      <c r="Z876" s="15"/>
      <c r="AA876" s="15"/>
    </row>
    <row r="877" spans="2:27" s="13" customFormat="1">
      <c r="B877" s="12"/>
      <c r="L877" s="14"/>
      <c r="M877" s="14"/>
      <c r="N877" s="14"/>
      <c r="O877" s="15"/>
      <c r="P877" s="15"/>
      <c r="Q877" s="15"/>
      <c r="R877" s="15"/>
      <c r="S877" s="15"/>
      <c r="T877" s="15"/>
      <c r="U877" s="15"/>
      <c r="V877" s="15"/>
      <c r="W877" s="15"/>
      <c r="X877" s="15"/>
      <c r="Y877" s="15"/>
      <c r="Z877" s="15"/>
      <c r="AA877" s="15"/>
    </row>
    <row r="878" spans="2:27" s="13" customFormat="1">
      <c r="B878" s="12"/>
      <c r="L878" s="14"/>
      <c r="M878" s="14"/>
      <c r="N878" s="14"/>
      <c r="O878" s="15"/>
      <c r="P878" s="15"/>
      <c r="Q878" s="15"/>
      <c r="R878" s="15"/>
      <c r="S878" s="15"/>
      <c r="T878" s="15"/>
      <c r="U878" s="15"/>
      <c r="V878" s="15"/>
      <c r="W878" s="15"/>
      <c r="X878" s="15"/>
      <c r="Y878" s="15"/>
      <c r="Z878" s="15"/>
      <c r="AA878" s="15"/>
    </row>
    <row r="879" spans="2:27" s="13" customFormat="1">
      <c r="B879" s="12"/>
      <c r="L879" s="14"/>
      <c r="M879" s="14"/>
      <c r="N879" s="14"/>
      <c r="O879" s="15"/>
      <c r="P879" s="15"/>
      <c r="Q879" s="15"/>
      <c r="R879" s="15"/>
      <c r="S879" s="15"/>
      <c r="T879" s="15"/>
      <c r="U879" s="15"/>
      <c r="V879" s="15"/>
      <c r="W879" s="15"/>
      <c r="X879" s="15"/>
      <c r="Y879" s="15"/>
      <c r="Z879" s="15"/>
      <c r="AA879" s="15"/>
    </row>
    <row r="880" spans="2:27" s="13" customFormat="1">
      <c r="B880" s="12"/>
      <c r="L880" s="14"/>
      <c r="M880" s="14"/>
      <c r="N880" s="14"/>
      <c r="O880" s="15"/>
      <c r="P880" s="15"/>
      <c r="Q880" s="15"/>
      <c r="R880" s="15"/>
      <c r="S880" s="15"/>
      <c r="T880" s="15"/>
      <c r="U880" s="15"/>
      <c r="V880" s="15"/>
      <c r="W880" s="15"/>
      <c r="X880" s="15"/>
      <c r="Y880" s="15"/>
      <c r="Z880" s="15"/>
      <c r="AA880" s="15"/>
    </row>
    <row r="881" spans="2:27" s="13" customFormat="1">
      <c r="B881" s="12"/>
      <c r="L881" s="14"/>
      <c r="M881" s="14"/>
      <c r="N881" s="14"/>
      <c r="O881" s="15"/>
      <c r="P881" s="15"/>
      <c r="Q881" s="15"/>
      <c r="R881" s="15"/>
      <c r="S881" s="15"/>
      <c r="T881" s="15"/>
      <c r="U881" s="15"/>
      <c r="V881" s="15"/>
      <c r="W881" s="15"/>
      <c r="X881" s="15"/>
      <c r="Y881" s="15"/>
      <c r="Z881" s="15"/>
      <c r="AA881" s="15"/>
    </row>
    <row r="882" spans="2:27" s="13" customFormat="1">
      <c r="B882" s="12"/>
      <c r="L882" s="14"/>
      <c r="M882" s="14"/>
      <c r="N882" s="14"/>
      <c r="O882" s="15"/>
      <c r="P882" s="15"/>
      <c r="Q882" s="15"/>
      <c r="R882" s="15"/>
      <c r="S882" s="15"/>
      <c r="T882" s="15"/>
      <c r="U882" s="15"/>
      <c r="V882" s="15"/>
      <c r="W882" s="15"/>
      <c r="X882" s="15"/>
      <c r="Y882" s="15"/>
      <c r="Z882" s="15"/>
      <c r="AA882" s="15"/>
    </row>
    <row r="883" spans="2:27" s="13" customFormat="1">
      <c r="B883" s="12"/>
      <c r="L883" s="14"/>
      <c r="M883" s="14"/>
      <c r="N883" s="14"/>
      <c r="O883" s="15"/>
      <c r="P883" s="15"/>
      <c r="Q883" s="15"/>
      <c r="R883" s="15"/>
      <c r="S883" s="15"/>
      <c r="T883" s="15"/>
      <c r="U883" s="15"/>
      <c r="V883" s="15"/>
      <c r="W883" s="15"/>
      <c r="X883" s="15"/>
      <c r="Y883" s="15"/>
      <c r="Z883" s="15"/>
      <c r="AA883" s="15"/>
    </row>
    <row r="884" spans="2:27" s="13" customFormat="1">
      <c r="B884" s="12"/>
      <c r="L884" s="14"/>
      <c r="M884" s="14"/>
      <c r="N884" s="14"/>
      <c r="O884" s="15"/>
      <c r="P884" s="15"/>
      <c r="Q884" s="15"/>
      <c r="R884" s="15"/>
      <c r="S884" s="15"/>
      <c r="T884" s="15"/>
      <c r="U884" s="15"/>
      <c r="V884" s="15"/>
      <c r="W884" s="15"/>
      <c r="X884" s="15"/>
      <c r="Y884" s="15"/>
      <c r="Z884" s="15"/>
      <c r="AA884" s="15"/>
    </row>
    <row r="885" spans="2:27" s="13" customFormat="1">
      <c r="B885" s="12"/>
      <c r="L885" s="14"/>
      <c r="M885" s="14"/>
      <c r="N885" s="14"/>
      <c r="O885" s="15"/>
      <c r="P885" s="15"/>
      <c r="Q885" s="15"/>
      <c r="R885" s="15"/>
      <c r="S885" s="15"/>
      <c r="T885" s="15"/>
      <c r="U885" s="15"/>
      <c r="V885" s="15"/>
      <c r="W885" s="15"/>
      <c r="X885" s="15"/>
      <c r="Y885" s="15"/>
      <c r="Z885" s="15"/>
      <c r="AA885" s="15"/>
    </row>
    <row r="886" spans="2:27" s="13" customFormat="1">
      <c r="B886" s="12"/>
      <c r="L886" s="14"/>
      <c r="M886" s="14"/>
      <c r="N886" s="14"/>
      <c r="O886" s="15"/>
      <c r="P886" s="15"/>
      <c r="Q886" s="15"/>
      <c r="R886" s="15"/>
      <c r="S886" s="15"/>
      <c r="T886" s="15"/>
      <c r="U886" s="15"/>
      <c r="V886" s="15"/>
      <c r="W886" s="15"/>
      <c r="X886" s="15"/>
      <c r="Y886" s="15"/>
      <c r="Z886" s="15"/>
      <c r="AA886" s="15"/>
    </row>
    <row r="887" spans="2:27" s="13" customFormat="1">
      <c r="B887" s="12"/>
      <c r="L887" s="14"/>
      <c r="M887" s="14"/>
      <c r="N887" s="14"/>
      <c r="O887" s="15"/>
      <c r="P887" s="15"/>
      <c r="Q887" s="15"/>
      <c r="R887" s="15"/>
      <c r="S887" s="15"/>
      <c r="T887" s="15"/>
      <c r="U887" s="15"/>
      <c r="V887" s="15"/>
      <c r="W887" s="15"/>
      <c r="X887" s="15"/>
      <c r="Y887" s="15"/>
      <c r="Z887" s="15"/>
      <c r="AA887" s="15"/>
    </row>
    <row r="888" spans="2:27" s="13" customFormat="1">
      <c r="B888" s="12"/>
      <c r="L888" s="14"/>
      <c r="M888" s="14"/>
      <c r="N888" s="14"/>
      <c r="O888" s="15"/>
      <c r="P888" s="15"/>
      <c r="Q888" s="15"/>
      <c r="R888" s="15"/>
      <c r="S888" s="15"/>
      <c r="T888" s="15"/>
      <c r="U888" s="15"/>
      <c r="V888" s="15"/>
      <c r="W888" s="15"/>
      <c r="X888" s="15"/>
      <c r="Y888" s="15"/>
      <c r="Z888" s="15"/>
      <c r="AA888" s="15"/>
    </row>
    <row r="889" spans="2:27" s="13" customFormat="1">
      <c r="B889" s="12"/>
      <c r="L889" s="14"/>
      <c r="M889" s="14"/>
      <c r="N889" s="14"/>
      <c r="O889" s="15"/>
      <c r="P889" s="15"/>
      <c r="Q889" s="15"/>
      <c r="R889" s="15"/>
      <c r="S889" s="15"/>
      <c r="T889" s="15"/>
      <c r="U889" s="15"/>
      <c r="V889" s="15"/>
      <c r="W889" s="15"/>
      <c r="X889" s="15"/>
      <c r="Y889" s="15"/>
      <c r="Z889" s="15"/>
      <c r="AA889" s="15"/>
    </row>
    <row r="890" spans="2:27" s="13" customFormat="1">
      <c r="B890" s="12"/>
      <c r="L890" s="14"/>
      <c r="M890" s="14"/>
      <c r="N890" s="14"/>
      <c r="O890" s="15"/>
      <c r="P890" s="15"/>
      <c r="Q890" s="15"/>
      <c r="R890" s="15"/>
      <c r="S890" s="15"/>
      <c r="T890" s="15"/>
      <c r="U890" s="15"/>
      <c r="V890" s="15"/>
      <c r="W890" s="15"/>
      <c r="X890" s="15"/>
      <c r="Y890" s="15"/>
      <c r="Z890" s="15"/>
      <c r="AA890" s="15"/>
    </row>
    <row r="891" spans="2:27" s="13" customFormat="1">
      <c r="B891" s="12"/>
      <c r="L891" s="14"/>
      <c r="M891" s="14"/>
      <c r="N891" s="14"/>
      <c r="O891" s="15"/>
      <c r="P891" s="15"/>
      <c r="Q891" s="15"/>
      <c r="R891" s="15"/>
      <c r="S891" s="15"/>
      <c r="T891" s="15"/>
      <c r="U891" s="15"/>
      <c r="V891" s="15"/>
      <c r="W891" s="15"/>
      <c r="X891" s="15"/>
      <c r="Y891" s="15"/>
      <c r="Z891" s="15"/>
      <c r="AA891" s="15"/>
    </row>
    <row r="892" spans="2:27" s="13" customFormat="1">
      <c r="B892" s="12"/>
      <c r="L892" s="14"/>
      <c r="M892" s="14"/>
      <c r="N892" s="14"/>
      <c r="O892" s="15"/>
      <c r="P892" s="15"/>
      <c r="Q892" s="15"/>
      <c r="R892" s="15"/>
      <c r="S892" s="15"/>
      <c r="T892" s="15"/>
      <c r="U892" s="15"/>
      <c r="V892" s="15"/>
      <c r="W892" s="15"/>
      <c r="X892" s="15"/>
      <c r="Y892" s="15"/>
      <c r="Z892" s="15"/>
      <c r="AA892" s="15"/>
    </row>
    <row r="893" spans="2:27" s="13" customFormat="1">
      <c r="B893" s="12"/>
      <c r="L893" s="14"/>
      <c r="M893" s="14"/>
      <c r="N893" s="14"/>
      <c r="O893" s="15"/>
      <c r="P893" s="15"/>
      <c r="Q893" s="15"/>
      <c r="R893" s="15"/>
      <c r="S893" s="15"/>
      <c r="T893" s="15"/>
      <c r="U893" s="15"/>
      <c r="V893" s="15"/>
      <c r="W893" s="15"/>
      <c r="X893" s="15"/>
      <c r="Y893" s="15"/>
      <c r="Z893" s="15"/>
      <c r="AA893" s="15"/>
    </row>
    <row r="894" spans="2:27" s="13" customFormat="1">
      <c r="B894" s="12"/>
      <c r="L894" s="14"/>
      <c r="M894" s="14"/>
      <c r="N894" s="14"/>
      <c r="O894" s="15"/>
      <c r="P894" s="15"/>
      <c r="Q894" s="15"/>
      <c r="R894" s="15"/>
      <c r="S894" s="15"/>
      <c r="T894" s="15"/>
      <c r="U894" s="15"/>
      <c r="V894" s="15"/>
      <c r="W894" s="15"/>
      <c r="X894" s="15"/>
      <c r="Y894" s="15"/>
      <c r="Z894" s="15"/>
      <c r="AA894" s="15"/>
    </row>
    <row r="895" spans="2:27" s="13" customFormat="1">
      <c r="B895" s="12"/>
      <c r="L895" s="14"/>
      <c r="M895" s="14"/>
      <c r="N895" s="14"/>
      <c r="O895" s="15"/>
      <c r="P895" s="15"/>
      <c r="Q895" s="15"/>
      <c r="R895" s="15"/>
      <c r="S895" s="15"/>
      <c r="T895" s="15"/>
      <c r="U895" s="15"/>
      <c r="V895" s="15"/>
      <c r="W895" s="15"/>
      <c r="X895" s="15"/>
      <c r="Y895" s="15"/>
      <c r="Z895" s="15"/>
      <c r="AA895" s="15"/>
    </row>
    <row r="896" spans="2:27" s="13" customFormat="1">
      <c r="B896" s="12"/>
      <c r="L896" s="14"/>
      <c r="M896" s="14"/>
      <c r="N896" s="14"/>
      <c r="O896" s="15"/>
      <c r="P896" s="15"/>
      <c r="Q896" s="15"/>
      <c r="R896" s="15"/>
      <c r="S896" s="15"/>
      <c r="T896" s="15"/>
      <c r="U896" s="15"/>
      <c r="V896" s="15"/>
      <c r="W896" s="15"/>
      <c r="X896" s="15"/>
      <c r="Y896" s="15"/>
      <c r="Z896" s="15"/>
      <c r="AA896" s="15"/>
    </row>
    <row r="897" spans="2:27" s="13" customFormat="1">
      <c r="B897" s="12"/>
      <c r="L897" s="14"/>
      <c r="M897" s="14"/>
      <c r="N897" s="14"/>
      <c r="O897" s="15"/>
      <c r="P897" s="15"/>
      <c r="Q897" s="15"/>
      <c r="R897" s="15"/>
      <c r="S897" s="15"/>
      <c r="T897" s="15"/>
      <c r="U897" s="15"/>
      <c r="V897" s="15"/>
      <c r="W897" s="15"/>
      <c r="X897" s="15"/>
      <c r="Y897" s="15"/>
      <c r="Z897" s="15"/>
      <c r="AA897" s="15"/>
    </row>
    <row r="898" spans="2:27" s="13" customFormat="1">
      <c r="B898" s="12"/>
      <c r="L898" s="14"/>
      <c r="M898" s="14"/>
      <c r="N898" s="14"/>
      <c r="O898" s="15"/>
      <c r="P898" s="15"/>
      <c r="Q898" s="15"/>
      <c r="R898" s="15"/>
      <c r="S898" s="15"/>
      <c r="T898" s="15"/>
      <c r="U898" s="15"/>
      <c r="V898" s="15"/>
      <c r="W898" s="15"/>
      <c r="X898" s="15"/>
      <c r="Y898" s="15"/>
      <c r="Z898" s="15"/>
      <c r="AA898" s="15"/>
    </row>
    <row r="899" spans="2:27" s="13" customFormat="1">
      <c r="B899" s="12"/>
      <c r="L899" s="14"/>
      <c r="M899" s="14"/>
      <c r="N899" s="14"/>
      <c r="O899" s="15"/>
      <c r="P899" s="15"/>
      <c r="Q899" s="15"/>
      <c r="R899" s="15"/>
      <c r="S899" s="15"/>
      <c r="T899" s="15"/>
      <c r="U899" s="15"/>
      <c r="V899" s="15"/>
      <c r="W899" s="15"/>
      <c r="X899" s="15"/>
      <c r="Y899" s="15"/>
      <c r="Z899" s="15"/>
      <c r="AA899" s="15"/>
    </row>
    <row r="900" spans="2:27" s="13" customFormat="1">
      <c r="B900" s="12"/>
      <c r="L900" s="14"/>
      <c r="M900" s="14"/>
      <c r="N900" s="14"/>
      <c r="O900" s="15"/>
      <c r="P900" s="15"/>
      <c r="Q900" s="15"/>
      <c r="R900" s="15"/>
      <c r="S900" s="15"/>
      <c r="T900" s="15"/>
      <c r="U900" s="15"/>
      <c r="V900" s="15"/>
      <c r="W900" s="15"/>
      <c r="X900" s="15"/>
      <c r="Y900" s="15"/>
      <c r="Z900" s="15"/>
      <c r="AA900" s="15"/>
    </row>
    <row r="901" spans="2:27" s="13" customFormat="1">
      <c r="B901" s="12"/>
      <c r="L901" s="14"/>
      <c r="M901" s="14"/>
      <c r="N901" s="14"/>
      <c r="O901" s="15"/>
      <c r="P901" s="15"/>
      <c r="Q901" s="15"/>
      <c r="R901" s="15"/>
      <c r="S901" s="15"/>
      <c r="T901" s="15"/>
      <c r="U901" s="15"/>
      <c r="V901" s="15"/>
      <c r="W901" s="15"/>
      <c r="X901" s="15"/>
      <c r="Y901" s="15"/>
      <c r="Z901" s="15"/>
      <c r="AA901" s="15"/>
    </row>
    <row r="902" spans="2:27" s="13" customFormat="1">
      <c r="B902" s="12"/>
      <c r="L902" s="14"/>
      <c r="M902" s="14"/>
      <c r="N902" s="14"/>
      <c r="O902" s="15"/>
      <c r="P902" s="15"/>
      <c r="Q902" s="15"/>
      <c r="R902" s="15"/>
      <c r="S902" s="15"/>
      <c r="T902" s="15"/>
      <c r="U902" s="15"/>
      <c r="V902" s="15"/>
      <c r="W902" s="15"/>
      <c r="X902" s="15"/>
      <c r="Y902" s="15"/>
      <c r="Z902" s="15"/>
      <c r="AA902" s="15"/>
    </row>
    <row r="903" spans="2:27" s="13" customFormat="1">
      <c r="B903" s="12"/>
      <c r="L903" s="14"/>
      <c r="M903" s="14"/>
      <c r="N903" s="14"/>
      <c r="O903" s="15"/>
      <c r="P903" s="15"/>
      <c r="Q903" s="15"/>
      <c r="R903" s="15"/>
      <c r="S903" s="15"/>
      <c r="T903" s="15"/>
      <c r="U903" s="15"/>
      <c r="V903" s="15"/>
      <c r="W903" s="15"/>
      <c r="X903" s="15"/>
      <c r="Y903" s="15"/>
      <c r="Z903" s="15"/>
      <c r="AA903" s="15"/>
    </row>
    <row r="904" spans="2:27" s="13" customFormat="1">
      <c r="B904" s="12"/>
      <c r="L904" s="14"/>
      <c r="M904" s="14"/>
      <c r="N904" s="14"/>
      <c r="O904" s="15"/>
      <c r="P904" s="15"/>
      <c r="Q904" s="15"/>
      <c r="R904" s="15"/>
      <c r="S904" s="15"/>
      <c r="T904" s="15"/>
      <c r="U904" s="15"/>
      <c r="V904" s="15"/>
      <c r="W904" s="15"/>
      <c r="X904" s="15"/>
      <c r="Y904" s="15"/>
      <c r="Z904" s="15"/>
      <c r="AA904" s="15"/>
    </row>
    <row r="905" spans="2:27" s="13" customFormat="1">
      <c r="B905" s="12"/>
      <c r="L905" s="14"/>
      <c r="M905" s="14"/>
      <c r="N905" s="14"/>
      <c r="O905" s="15"/>
      <c r="P905" s="15"/>
      <c r="Q905" s="15"/>
      <c r="R905" s="15"/>
      <c r="S905" s="15"/>
      <c r="T905" s="15"/>
      <c r="U905" s="15"/>
      <c r="V905" s="15"/>
      <c r="W905" s="15"/>
      <c r="X905" s="15"/>
      <c r="Y905" s="15"/>
      <c r="Z905" s="15"/>
      <c r="AA905" s="15"/>
    </row>
    <row r="906" spans="2:27" s="13" customFormat="1">
      <c r="B906" s="12"/>
      <c r="L906" s="14"/>
      <c r="M906" s="14"/>
      <c r="N906" s="14"/>
      <c r="O906" s="15"/>
      <c r="P906" s="15"/>
      <c r="Q906" s="15"/>
      <c r="R906" s="15"/>
      <c r="S906" s="15"/>
      <c r="T906" s="15"/>
      <c r="U906" s="15"/>
      <c r="V906" s="15"/>
      <c r="W906" s="15"/>
      <c r="X906" s="15"/>
      <c r="Y906" s="15"/>
      <c r="Z906" s="15"/>
      <c r="AA906" s="15"/>
    </row>
    <row r="907" spans="2:27" s="13" customFormat="1">
      <c r="B907" s="12"/>
      <c r="L907" s="14"/>
      <c r="M907" s="14"/>
      <c r="N907" s="14"/>
      <c r="O907" s="15"/>
      <c r="P907" s="15"/>
      <c r="Q907" s="15"/>
      <c r="R907" s="15"/>
      <c r="S907" s="15"/>
      <c r="T907" s="15"/>
      <c r="U907" s="15"/>
      <c r="V907" s="15"/>
      <c r="W907" s="15"/>
      <c r="X907" s="15"/>
      <c r="Y907" s="15"/>
      <c r="Z907" s="15"/>
      <c r="AA907" s="15"/>
    </row>
    <row r="908" spans="2:27" s="13" customFormat="1">
      <c r="B908" s="12"/>
      <c r="L908" s="14"/>
      <c r="M908" s="14"/>
      <c r="N908" s="14"/>
      <c r="O908" s="15"/>
      <c r="P908" s="15"/>
      <c r="Q908" s="15"/>
      <c r="R908" s="15"/>
      <c r="S908" s="15"/>
      <c r="T908" s="15"/>
      <c r="U908" s="15"/>
      <c r="V908" s="15"/>
      <c r="W908" s="15"/>
      <c r="X908" s="15"/>
      <c r="Y908" s="15"/>
      <c r="Z908" s="15"/>
      <c r="AA908" s="15"/>
    </row>
    <row r="909" spans="2:27" s="13" customFormat="1">
      <c r="B909" s="12"/>
      <c r="L909" s="14"/>
      <c r="M909" s="14"/>
      <c r="N909" s="14"/>
      <c r="O909" s="15"/>
      <c r="P909" s="15"/>
      <c r="Q909" s="15"/>
      <c r="R909" s="15"/>
      <c r="S909" s="15"/>
      <c r="T909" s="15"/>
      <c r="U909" s="15"/>
      <c r="V909" s="15"/>
      <c r="W909" s="15"/>
      <c r="X909" s="15"/>
      <c r="Y909" s="15"/>
      <c r="Z909" s="15"/>
      <c r="AA909" s="15"/>
    </row>
    <row r="910" spans="2:27" s="13" customFormat="1">
      <c r="B910" s="12"/>
      <c r="L910" s="14"/>
      <c r="M910" s="14"/>
      <c r="N910" s="14"/>
      <c r="O910" s="15"/>
      <c r="P910" s="15"/>
      <c r="Q910" s="15"/>
      <c r="R910" s="15"/>
      <c r="S910" s="15"/>
      <c r="T910" s="15"/>
      <c r="U910" s="15"/>
      <c r="V910" s="15"/>
      <c r="W910" s="15"/>
      <c r="X910" s="15"/>
      <c r="Y910" s="15"/>
      <c r="Z910" s="15"/>
      <c r="AA910" s="15"/>
    </row>
    <row r="911" spans="2:27" s="13" customFormat="1">
      <c r="B911" s="12"/>
      <c r="L911" s="14"/>
      <c r="M911" s="14"/>
      <c r="N911" s="14"/>
      <c r="O911" s="15"/>
      <c r="P911" s="15"/>
      <c r="Q911" s="15"/>
      <c r="R911" s="15"/>
      <c r="S911" s="15"/>
      <c r="T911" s="15"/>
      <c r="U911" s="15"/>
      <c r="V911" s="15"/>
      <c r="W911" s="15"/>
      <c r="X911" s="15"/>
      <c r="Y911" s="15"/>
      <c r="Z911" s="15"/>
      <c r="AA911" s="15"/>
    </row>
    <row r="912" spans="2:27" s="13" customFormat="1">
      <c r="B912" s="12"/>
      <c r="L912" s="14"/>
      <c r="M912" s="14"/>
      <c r="N912" s="14"/>
      <c r="O912" s="15"/>
      <c r="P912" s="15"/>
      <c r="Q912" s="15"/>
      <c r="R912" s="15"/>
      <c r="S912" s="15"/>
      <c r="T912" s="15"/>
      <c r="U912" s="15"/>
      <c r="V912" s="15"/>
      <c r="W912" s="15"/>
      <c r="X912" s="15"/>
      <c r="Y912" s="15"/>
      <c r="Z912" s="15"/>
      <c r="AA912" s="15"/>
    </row>
    <row r="913" spans="2:27" s="13" customFormat="1">
      <c r="B913" s="12"/>
      <c r="L913" s="14"/>
      <c r="M913" s="14"/>
      <c r="N913" s="14"/>
      <c r="O913" s="15"/>
      <c r="P913" s="15"/>
      <c r="Q913" s="15"/>
      <c r="R913" s="15"/>
      <c r="S913" s="15"/>
      <c r="T913" s="15"/>
      <c r="U913" s="15"/>
      <c r="V913" s="15"/>
      <c r="W913" s="15"/>
      <c r="X913" s="15"/>
      <c r="Y913" s="15"/>
      <c r="Z913" s="15"/>
      <c r="AA913" s="15"/>
    </row>
    <row r="914" spans="2:27" s="13" customFormat="1">
      <c r="B914" s="12"/>
      <c r="L914" s="14"/>
      <c r="M914" s="14"/>
      <c r="N914" s="14"/>
      <c r="O914" s="15"/>
      <c r="P914" s="15"/>
      <c r="Q914" s="15"/>
      <c r="R914" s="15"/>
      <c r="S914" s="15"/>
      <c r="T914" s="15"/>
      <c r="U914" s="15"/>
      <c r="V914" s="15"/>
      <c r="W914" s="15"/>
      <c r="X914" s="15"/>
      <c r="Y914" s="15"/>
      <c r="Z914" s="15"/>
      <c r="AA914" s="15"/>
    </row>
    <row r="915" spans="2:27" s="13" customFormat="1">
      <c r="B915" s="12"/>
      <c r="L915" s="14"/>
      <c r="M915" s="14"/>
      <c r="N915" s="14"/>
      <c r="O915" s="15"/>
      <c r="P915" s="15"/>
      <c r="Q915" s="15"/>
      <c r="R915" s="15"/>
      <c r="S915" s="15"/>
      <c r="T915" s="15"/>
      <c r="U915" s="15"/>
      <c r="V915" s="15"/>
      <c r="W915" s="15"/>
      <c r="X915" s="15"/>
      <c r="Y915" s="15"/>
      <c r="Z915" s="15"/>
      <c r="AA915" s="15"/>
    </row>
    <row r="916" spans="2:27" s="13" customFormat="1">
      <c r="B916" s="12"/>
      <c r="L916" s="14"/>
      <c r="M916" s="14"/>
      <c r="N916" s="14"/>
      <c r="O916" s="15"/>
      <c r="P916" s="15"/>
      <c r="Q916" s="15"/>
      <c r="R916" s="15"/>
      <c r="S916" s="15"/>
      <c r="T916" s="15"/>
      <c r="U916" s="15"/>
      <c r="V916" s="15"/>
      <c r="W916" s="15"/>
      <c r="X916" s="15"/>
      <c r="Y916" s="15"/>
      <c r="Z916" s="15"/>
      <c r="AA916" s="15"/>
    </row>
    <row r="917" spans="2:27" s="13" customFormat="1">
      <c r="B917" s="12"/>
      <c r="L917" s="14"/>
      <c r="M917" s="14"/>
      <c r="N917" s="14"/>
      <c r="O917" s="15"/>
      <c r="P917" s="15"/>
      <c r="Q917" s="15"/>
      <c r="R917" s="15"/>
      <c r="S917" s="15"/>
      <c r="T917" s="15"/>
      <c r="U917" s="15"/>
      <c r="V917" s="15"/>
      <c r="W917" s="15"/>
      <c r="X917" s="15"/>
      <c r="Y917" s="15"/>
      <c r="Z917" s="15"/>
      <c r="AA917" s="15"/>
    </row>
    <row r="918" spans="2:27" s="13" customFormat="1">
      <c r="B918" s="12"/>
      <c r="L918" s="14"/>
      <c r="M918" s="14"/>
      <c r="N918" s="14"/>
      <c r="O918" s="15"/>
      <c r="P918" s="15"/>
      <c r="Q918" s="15"/>
      <c r="R918" s="15"/>
      <c r="S918" s="15"/>
      <c r="T918" s="15"/>
      <c r="U918" s="15"/>
      <c r="V918" s="15"/>
      <c r="W918" s="15"/>
      <c r="X918" s="15"/>
      <c r="Y918" s="15"/>
      <c r="Z918" s="15"/>
      <c r="AA918" s="15"/>
    </row>
    <row r="919" spans="2:27" s="13" customFormat="1">
      <c r="B919" s="12"/>
      <c r="L919" s="14"/>
      <c r="M919" s="14"/>
      <c r="N919" s="14"/>
      <c r="O919" s="15"/>
      <c r="P919" s="15"/>
      <c r="Q919" s="15"/>
      <c r="R919" s="15"/>
      <c r="S919" s="15"/>
      <c r="T919" s="15"/>
      <c r="U919" s="15"/>
      <c r="V919" s="15"/>
      <c r="W919" s="15"/>
      <c r="X919" s="15"/>
      <c r="Y919" s="15"/>
      <c r="Z919" s="15"/>
      <c r="AA919" s="15"/>
    </row>
    <row r="920" spans="2:27" s="13" customFormat="1">
      <c r="B920" s="12"/>
      <c r="L920" s="14"/>
      <c r="M920" s="14"/>
      <c r="N920" s="14"/>
      <c r="O920" s="15"/>
      <c r="P920" s="15"/>
      <c r="Q920" s="15"/>
      <c r="R920" s="15"/>
      <c r="S920" s="15"/>
      <c r="T920" s="15"/>
      <c r="U920" s="15"/>
      <c r="V920" s="15"/>
      <c r="W920" s="15"/>
      <c r="X920" s="15"/>
      <c r="Y920" s="15"/>
      <c r="Z920" s="15"/>
      <c r="AA920" s="15"/>
    </row>
    <row r="921" spans="2:27" s="13" customFormat="1">
      <c r="B921" s="12"/>
      <c r="L921" s="14"/>
      <c r="M921" s="14"/>
      <c r="N921" s="14"/>
      <c r="O921" s="15"/>
      <c r="P921" s="15"/>
      <c r="Q921" s="15"/>
      <c r="R921" s="15"/>
      <c r="S921" s="15"/>
      <c r="T921" s="15"/>
      <c r="U921" s="15"/>
      <c r="V921" s="15"/>
      <c r="W921" s="15"/>
      <c r="X921" s="15"/>
      <c r="Y921" s="15"/>
      <c r="Z921" s="15"/>
      <c r="AA921" s="15"/>
    </row>
    <row r="922" spans="2:27" s="13" customFormat="1">
      <c r="B922" s="12"/>
      <c r="L922" s="14"/>
      <c r="M922" s="14"/>
      <c r="N922" s="14"/>
      <c r="O922" s="15"/>
      <c r="P922" s="15"/>
      <c r="Q922" s="15"/>
      <c r="R922" s="15"/>
      <c r="S922" s="15"/>
      <c r="T922" s="15"/>
      <c r="U922" s="15"/>
      <c r="V922" s="15"/>
      <c r="W922" s="15"/>
      <c r="X922" s="15"/>
      <c r="Y922" s="15"/>
      <c r="Z922" s="15"/>
      <c r="AA922" s="15"/>
    </row>
    <row r="923" spans="2:27" s="13" customFormat="1">
      <c r="B923" s="12"/>
      <c r="L923" s="14"/>
      <c r="M923" s="14"/>
      <c r="N923" s="14"/>
      <c r="O923" s="15"/>
      <c r="P923" s="15"/>
      <c r="Q923" s="15"/>
      <c r="R923" s="15"/>
      <c r="S923" s="15"/>
      <c r="T923" s="15"/>
      <c r="U923" s="15"/>
      <c r="V923" s="15"/>
      <c r="W923" s="15"/>
      <c r="X923" s="15"/>
      <c r="Y923" s="15"/>
      <c r="Z923" s="15"/>
      <c r="AA923" s="15"/>
    </row>
    <row r="924" spans="2:27" s="13" customFormat="1">
      <c r="B924" s="12"/>
      <c r="L924" s="14"/>
      <c r="M924" s="14"/>
      <c r="N924" s="14"/>
      <c r="O924" s="15"/>
      <c r="P924" s="15"/>
      <c r="Q924" s="15"/>
      <c r="R924" s="15"/>
      <c r="S924" s="15"/>
      <c r="T924" s="15"/>
      <c r="U924" s="15"/>
      <c r="V924" s="15"/>
      <c r="W924" s="15"/>
      <c r="X924" s="15"/>
      <c r="Y924" s="15"/>
      <c r="Z924" s="15"/>
      <c r="AA924" s="15"/>
    </row>
    <row r="925" spans="2:27" s="13" customFormat="1">
      <c r="B925" s="12"/>
      <c r="L925" s="14"/>
      <c r="M925" s="14"/>
      <c r="N925" s="14"/>
      <c r="O925" s="15"/>
      <c r="P925" s="15"/>
      <c r="Q925" s="15"/>
      <c r="R925" s="15"/>
      <c r="S925" s="15"/>
      <c r="T925" s="15"/>
      <c r="U925" s="15"/>
      <c r="V925" s="15"/>
      <c r="W925" s="15"/>
      <c r="X925" s="15"/>
      <c r="Y925" s="15"/>
      <c r="Z925" s="15"/>
      <c r="AA925" s="15"/>
    </row>
    <row r="926" spans="2:27" s="13" customFormat="1">
      <c r="B926" s="12"/>
      <c r="L926" s="14"/>
      <c r="M926" s="14"/>
      <c r="N926" s="14"/>
      <c r="O926" s="15"/>
      <c r="P926" s="15"/>
      <c r="Q926" s="15"/>
      <c r="R926" s="15"/>
      <c r="S926" s="15"/>
      <c r="T926" s="15"/>
      <c r="U926" s="15"/>
      <c r="V926" s="15"/>
      <c r="W926" s="15"/>
      <c r="X926" s="15"/>
      <c r="Y926" s="15"/>
      <c r="Z926" s="15"/>
      <c r="AA926" s="15"/>
    </row>
    <row r="927" spans="2:27" s="13" customFormat="1">
      <c r="B927" s="12"/>
      <c r="L927" s="14"/>
      <c r="M927" s="14"/>
      <c r="N927" s="14"/>
      <c r="O927" s="15"/>
      <c r="P927" s="15"/>
      <c r="Q927" s="15"/>
      <c r="R927" s="15"/>
      <c r="S927" s="15"/>
      <c r="T927" s="15"/>
      <c r="U927" s="15"/>
      <c r="V927" s="15"/>
      <c r="W927" s="15"/>
      <c r="X927" s="15"/>
      <c r="Y927" s="15"/>
      <c r="Z927" s="15"/>
      <c r="AA927" s="15"/>
    </row>
    <row r="928" spans="2:27" s="13" customFormat="1">
      <c r="B928" s="12"/>
      <c r="L928" s="14"/>
      <c r="M928" s="14"/>
      <c r="N928" s="14"/>
      <c r="O928" s="15"/>
      <c r="P928" s="15"/>
      <c r="Q928" s="15"/>
      <c r="R928" s="15"/>
      <c r="S928" s="15"/>
      <c r="T928" s="15"/>
      <c r="U928" s="15"/>
      <c r="V928" s="15"/>
      <c r="W928" s="15"/>
      <c r="X928" s="15"/>
      <c r="Y928" s="15"/>
      <c r="Z928" s="15"/>
      <c r="AA928" s="15"/>
    </row>
    <row r="929" spans="2:27" s="13" customFormat="1">
      <c r="B929" s="12"/>
      <c r="L929" s="14"/>
      <c r="M929" s="14"/>
      <c r="N929" s="14"/>
      <c r="O929" s="15"/>
      <c r="P929" s="15"/>
      <c r="Q929" s="15"/>
      <c r="R929" s="15"/>
      <c r="S929" s="15"/>
      <c r="T929" s="15"/>
      <c r="U929" s="15"/>
      <c r="V929" s="15"/>
      <c r="W929" s="15"/>
      <c r="X929" s="15"/>
      <c r="Y929" s="15"/>
      <c r="Z929" s="15"/>
      <c r="AA929" s="15"/>
    </row>
    <row r="930" spans="2:27" s="13" customFormat="1">
      <c r="B930" s="12"/>
      <c r="L930" s="14"/>
      <c r="M930" s="14"/>
      <c r="N930" s="14"/>
      <c r="O930" s="15"/>
      <c r="P930" s="15"/>
      <c r="Q930" s="15"/>
      <c r="R930" s="15"/>
      <c r="S930" s="15"/>
      <c r="T930" s="15"/>
      <c r="U930" s="15"/>
      <c r="V930" s="15"/>
      <c r="W930" s="15"/>
      <c r="X930" s="15"/>
      <c r="Y930" s="15"/>
      <c r="Z930" s="15"/>
      <c r="AA930" s="15"/>
    </row>
    <row r="931" spans="2:27" s="13" customFormat="1">
      <c r="B931" s="12"/>
      <c r="L931" s="14"/>
      <c r="M931" s="14"/>
      <c r="N931" s="14"/>
      <c r="O931" s="15"/>
      <c r="P931" s="15"/>
      <c r="Q931" s="15"/>
      <c r="R931" s="15"/>
      <c r="S931" s="15"/>
      <c r="T931" s="15"/>
      <c r="U931" s="15"/>
      <c r="V931" s="15"/>
      <c r="W931" s="15"/>
      <c r="X931" s="15"/>
      <c r="Y931" s="15"/>
      <c r="Z931" s="15"/>
      <c r="AA931" s="15"/>
    </row>
    <row r="932" spans="2:27" s="13" customFormat="1">
      <c r="B932" s="12"/>
      <c r="L932" s="14"/>
      <c r="M932" s="14"/>
      <c r="N932" s="14"/>
      <c r="O932" s="15"/>
      <c r="P932" s="15"/>
      <c r="Q932" s="15"/>
      <c r="R932" s="15"/>
      <c r="S932" s="15"/>
      <c r="T932" s="15"/>
      <c r="U932" s="15"/>
      <c r="V932" s="15"/>
      <c r="W932" s="15"/>
      <c r="X932" s="15"/>
      <c r="Y932" s="15"/>
      <c r="Z932" s="15"/>
      <c r="AA932" s="15"/>
    </row>
    <row r="933" spans="2:27" s="13" customFormat="1">
      <c r="B933" s="12"/>
      <c r="L933" s="14"/>
      <c r="M933" s="14"/>
      <c r="N933" s="14"/>
      <c r="O933" s="15"/>
      <c r="P933" s="15"/>
      <c r="Q933" s="15"/>
      <c r="R933" s="15"/>
      <c r="S933" s="15"/>
      <c r="T933" s="15"/>
      <c r="U933" s="15"/>
      <c r="V933" s="15"/>
      <c r="W933" s="15"/>
      <c r="X933" s="15"/>
      <c r="Y933" s="15"/>
      <c r="Z933" s="15"/>
      <c r="AA933" s="15"/>
    </row>
    <row r="934" spans="2:27" s="13" customFormat="1">
      <c r="B934" s="12"/>
      <c r="L934" s="14"/>
      <c r="M934" s="14"/>
      <c r="N934" s="14"/>
      <c r="O934" s="15"/>
      <c r="P934" s="15"/>
      <c r="Q934" s="15"/>
      <c r="R934" s="15"/>
      <c r="S934" s="15"/>
      <c r="T934" s="15"/>
      <c r="U934" s="15"/>
      <c r="V934" s="15"/>
      <c r="W934" s="15"/>
      <c r="X934" s="15"/>
      <c r="Y934" s="15"/>
      <c r="Z934" s="15"/>
      <c r="AA934" s="15"/>
    </row>
    <row r="935" spans="2:27" s="13" customFormat="1">
      <c r="B935" s="12"/>
      <c r="L935" s="14"/>
      <c r="M935" s="14"/>
      <c r="N935" s="14"/>
      <c r="O935" s="15"/>
      <c r="P935" s="15"/>
      <c r="Q935" s="15"/>
      <c r="R935" s="15"/>
      <c r="S935" s="15"/>
      <c r="T935" s="15"/>
      <c r="U935" s="15"/>
      <c r="V935" s="15"/>
      <c r="W935" s="15"/>
      <c r="X935" s="15"/>
      <c r="Y935" s="15"/>
      <c r="Z935" s="15"/>
      <c r="AA935" s="15"/>
    </row>
    <row r="936" spans="2:27" s="13" customFormat="1">
      <c r="B936" s="12"/>
      <c r="L936" s="14"/>
      <c r="M936" s="14"/>
      <c r="N936" s="14"/>
      <c r="O936" s="15"/>
      <c r="P936" s="15"/>
      <c r="Q936" s="15"/>
      <c r="R936" s="15"/>
      <c r="S936" s="15"/>
      <c r="T936" s="15"/>
      <c r="U936" s="15"/>
      <c r="V936" s="15"/>
      <c r="W936" s="15"/>
      <c r="X936" s="15"/>
      <c r="Y936" s="15"/>
      <c r="Z936" s="15"/>
      <c r="AA936" s="15"/>
    </row>
    <row r="937" spans="2:27" s="13" customFormat="1">
      <c r="B937" s="12"/>
      <c r="L937" s="14"/>
      <c r="M937" s="14"/>
      <c r="N937" s="14"/>
      <c r="O937" s="15"/>
      <c r="P937" s="15"/>
      <c r="Q937" s="15"/>
      <c r="R937" s="15"/>
      <c r="S937" s="15"/>
      <c r="T937" s="15"/>
      <c r="U937" s="15"/>
      <c r="V937" s="15"/>
      <c r="W937" s="15"/>
      <c r="X937" s="15"/>
      <c r="Y937" s="15"/>
      <c r="Z937" s="15"/>
      <c r="AA937" s="15"/>
    </row>
    <row r="938" spans="2:27" s="13" customFormat="1">
      <c r="B938" s="12"/>
      <c r="L938" s="14"/>
      <c r="M938" s="14"/>
      <c r="N938" s="14"/>
      <c r="O938" s="15"/>
      <c r="P938" s="15"/>
      <c r="Q938" s="15"/>
      <c r="R938" s="15"/>
      <c r="S938" s="15"/>
      <c r="T938" s="15"/>
      <c r="U938" s="15"/>
      <c r="V938" s="15"/>
      <c r="W938" s="15"/>
      <c r="X938" s="15"/>
      <c r="Y938" s="15"/>
      <c r="Z938" s="15"/>
      <c r="AA938" s="15"/>
    </row>
    <row r="939" spans="2:27" s="13" customFormat="1">
      <c r="B939" s="12"/>
      <c r="L939" s="14"/>
      <c r="M939" s="14"/>
      <c r="N939" s="14"/>
      <c r="O939" s="15"/>
      <c r="P939" s="15"/>
      <c r="Q939" s="15"/>
      <c r="R939" s="15"/>
      <c r="S939" s="15"/>
      <c r="T939" s="15"/>
      <c r="U939" s="15"/>
      <c r="V939" s="15"/>
      <c r="W939" s="15"/>
      <c r="X939" s="15"/>
      <c r="Y939" s="15"/>
      <c r="Z939" s="15"/>
      <c r="AA939" s="15"/>
    </row>
    <row r="940" spans="2:27" s="13" customFormat="1">
      <c r="B940" s="12"/>
      <c r="L940" s="14"/>
      <c r="M940" s="14"/>
      <c r="N940" s="14"/>
      <c r="O940" s="15"/>
      <c r="P940" s="15"/>
      <c r="Q940" s="15"/>
      <c r="R940" s="15"/>
      <c r="S940" s="15"/>
      <c r="T940" s="15"/>
      <c r="U940" s="15"/>
      <c r="V940" s="15"/>
      <c r="W940" s="15"/>
      <c r="X940" s="15"/>
      <c r="Y940" s="15"/>
      <c r="Z940" s="15"/>
      <c r="AA940" s="15"/>
    </row>
    <row r="941" spans="2:27" s="13" customFormat="1">
      <c r="B941" s="12"/>
      <c r="L941" s="14"/>
      <c r="M941" s="14"/>
      <c r="N941" s="14"/>
      <c r="O941" s="15"/>
      <c r="P941" s="15"/>
      <c r="Q941" s="15"/>
      <c r="R941" s="15"/>
      <c r="S941" s="15"/>
      <c r="T941" s="15"/>
      <c r="U941" s="15"/>
      <c r="V941" s="15"/>
      <c r="W941" s="15"/>
      <c r="X941" s="15"/>
      <c r="Y941" s="15"/>
      <c r="Z941" s="15"/>
      <c r="AA941" s="15"/>
    </row>
    <row r="942" spans="2:27" s="13" customFormat="1">
      <c r="B942" s="12"/>
      <c r="L942" s="14"/>
      <c r="M942" s="14"/>
      <c r="N942" s="14"/>
      <c r="O942" s="15"/>
      <c r="P942" s="15"/>
      <c r="Q942" s="15"/>
      <c r="R942" s="15"/>
      <c r="S942" s="15"/>
      <c r="T942" s="15"/>
      <c r="U942" s="15"/>
      <c r="V942" s="15"/>
      <c r="W942" s="15"/>
      <c r="X942" s="15"/>
      <c r="Y942" s="15"/>
      <c r="Z942" s="15"/>
      <c r="AA942" s="15"/>
    </row>
    <row r="943" spans="2:27" s="13" customFormat="1">
      <c r="B943" s="12"/>
      <c r="L943" s="14"/>
      <c r="M943" s="14"/>
      <c r="N943" s="14"/>
      <c r="O943" s="15"/>
      <c r="P943" s="15"/>
      <c r="Q943" s="15"/>
      <c r="R943" s="15"/>
      <c r="S943" s="15"/>
      <c r="T943" s="15"/>
      <c r="U943" s="15"/>
      <c r="V943" s="15"/>
      <c r="W943" s="15"/>
      <c r="X943" s="15"/>
      <c r="Y943" s="15"/>
      <c r="Z943" s="15"/>
      <c r="AA943" s="15"/>
    </row>
    <row r="944" spans="2:27" s="13" customFormat="1">
      <c r="B944" s="12"/>
      <c r="L944" s="14"/>
      <c r="M944" s="14"/>
      <c r="N944" s="14"/>
      <c r="O944" s="15"/>
      <c r="P944" s="15"/>
      <c r="Q944" s="15"/>
      <c r="R944" s="15"/>
      <c r="S944" s="15"/>
      <c r="T944" s="15"/>
      <c r="U944" s="15"/>
      <c r="V944" s="15"/>
      <c r="W944" s="15"/>
      <c r="X944" s="15"/>
      <c r="Y944" s="15"/>
      <c r="Z944" s="15"/>
      <c r="AA944" s="15"/>
    </row>
    <row r="945" spans="2:27" s="13" customFormat="1">
      <c r="B945" s="12"/>
      <c r="L945" s="14"/>
      <c r="M945" s="14"/>
      <c r="N945" s="14"/>
      <c r="O945" s="15"/>
      <c r="P945" s="15"/>
      <c r="Q945" s="15"/>
      <c r="R945" s="15"/>
      <c r="S945" s="15"/>
      <c r="T945" s="15"/>
      <c r="U945" s="15"/>
      <c r="V945" s="15"/>
      <c r="W945" s="15"/>
      <c r="X945" s="15"/>
      <c r="Y945" s="15"/>
      <c r="Z945" s="15"/>
      <c r="AA945" s="15"/>
    </row>
    <row r="946" spans="2:27" s="13" customFormat="1">
      <c r="B946" s="12"/>
      <c r="L946" s="14"/>
      <c r="M946" s="14"/>
      <c r="N946" s="14"/>
      <c r="O946" s="15"/>
      <c r="P946" s="15"/>
      <c r="Q946" s="15"/>
      <c r="R946" s="15"/>
      <c r="S946" s="15"/>
      <c r="T946" s="15"/>
      <c r="U946" s="15"/>
      <c r="V946" s="15"/>
      <c r="W946" s="15"/>
      <c r="X946" s="15"/>
      <c r="Y946" s="15"/>
      <c r="Z946" s="15"/>
      <c r="AA946" s="15"/>
    </row>
    <row r="947" spans="2:27" s="13" customFormat="1">
      <c r="B947" s="12"/>
      <c r="L947" s="14"/>
      <c r="M947" s="14"/>
      <c r="N947" s="14"/>
      <c r="O947" s="15"/>
      <c r="P947" s="15"/>
      <c r="Q947" s="15"/>
      <c r="R947" s="15"/>
      <c r="S947" s="15"/>
      <c r="T947" s="15"/>
      <c r="U947" s="15"/>
      <c r="V947" s="15"/>
      <c r="W947" s="15"/>
      <c r="X947" s="15"/>
      <c r="Y947" s="15"/>
      <c r="Z947" s="15"/>
      <c r="AA947" s="15"/>
    </row>
    <row r="948" spans="2:27" s="13" customFormat="1">
      <c r="B948" s="12"/>
      <c r="L948" s="14"/>
      <c r="M948" s="14"/>
      <c r="N948" s="14"/>
      <c r="O948" s="15"/>
      <c r="P948" s="15"/>
      <c r="Q948" s="15"/>
      <c r="R948" s="15"/>
      <c r="S948" s="15"/>
      <c r="T948" s="15"/>
      <c r="U948" s="15"/>
      <c r="V948" s="15"/>
      <c r="W948" s="15"/>
      <c r="X948" s="15"/>
      <c r="Y948" s="15"/>
      <c r="Z948" s="15"/>
      <c r="AA948" s="15"/>
    </row>
    <row r="949" spans="2:27" s="13" customFormat="1">
      <c r="B949" s="12"/>
      <c r="L949" s="14"/>
      <c r="M949" s="14"/>
      <c r="N949" s="14"/>
      <c r="O949" s="15"/>
      <c r="P949" s="15"/>
      <c r="Q949" s="15"/>
      <c r="R949" s="15"/>
      <c r="S949" s="15"/>
      <c r="T949" s="15"/>
      <c r="U949" s="15"/>
      <c r="V949" s="15"/>
      <c r="W949" s="15"/>
      <c r="X949" s="15"/>
      <c r="Y949" s="15"/>
      <c r="Z949" s="15"/>
      <c r="AA949" s="15"/>
    </row>
    <row r="950" spans="2:27" s="13" customFormat="1">
      <c r="B950" s="12"/>
      <c r="L950" s="14"/>
      <c r="M950" s="14"/>
      <c r="N950" s="14"/>
      <c r="O950" s="15"/>
      <c r="P950" s="15"/>
      <c r="Q950" s="15"/>
      <c r="R950" s="15"/>
      <c r="S950" s="15"/>
      <c r="T950" s="15"/>
      <c r="U950" s="15"/>
      <c r="V950" s="15"/>
      <c r="W950" s="15"/>
      <c r="X950" s="15"/>
      <c r="Y950" s="15"/>
      <c r="Z950" s="15"/>
      <c r="AA950" s="15"/>
    </row>
    <row r="951" spans="2:27" s="13" customFormat="1">
      <c r="B951" s="12"/>
      <c r="L951" s="14"/>
      <c r="M951" s="14"/>
      <c r="N951" s="14"/>
      <c r="O951" s="15"/>
      <c r="P951" s="15"/>
      <c r="Q951" s="15"/>
      <c r="R951" s="15"/>
      <c r="S951" s="15"/>
      <c r="T951" s="15"/>
      <c r="U951" s="15"/>
      <c r="V951" s="15"/>
      <c r="W951" s="15"/>
      <c r="X951" s="15"/>
      <c r="Y951" s="15"/>
      <c r="Z951" s="15"/>
      <c r="AA951" s="15"/>
    </row>
    <row r="952" spans="2:27" s="13" customFormat="1">
      <c r="B952" s="12"/>
      <c r="L952" s="14"/>
      <c r="M952" s="14"/>
      <c r="N952" s="14"/>
      <c r="O952" s="15"/>
      <c r="P952" s="15"/>
      <c r="Q952" s="15"/>
      <c r="R952" s="15"/>
      <c r="S952" s="15"/>
      <c r="T952" s="15"/>
      <c r="U952" s="15"/>
      <c r="V952" s="15"/>
      <c r="W952" s="15"/>
      <c r="X952" s="15"/>
      <c r="Y952" s="15"/>
      <c r="Z952" s="15"/>
      <c r="AA952" s="15"/>
    </row>
    <row r="953" spans="2:27" s="13" customFormat="1">
      <c r="B953" s="12"/>
      <c r="L953" s="14"/>
      <c r="M953" s="14"/>
      <c r="N953" s="14"/>
      <c r="O953" s="15"/>
      <c r="P953" s="15"/>
      <c r="Q953" s="15"/>
      <c r="R953" s="15"/>
      <c r="S953" s="15"/>
      <c r="T953" s="15"/>
      <c r="U953" s="15"/>
      <c r="V953" s="15"/>
      <c r="W953" s="15"/>
      <c r="X953" s="15"/>
      <c r="Y953" s="15"/>
      <c r="Z953" s="15"/>
      <c r="AA953" s="15"/>
    </row>
    <row r="954" spans="2:27" s="13" customFormat="1">
      <c r="B954" s="12"/>
      <c r="L954" s="14"/>
      <c r="M954" s="14"/>
      <c r="N954" s="14"/>
      <c r="O954" s="15"/>
      <c r="P954" s="15"/>
      <c r="Q954" s="15"/>
      <c r="R954" s="15"/>
      <c r="S954" s="15"/>
      <c r="T954" s="15"/>
      <c r="U954" s="15"/>
      <c r="V954" s="15"/>
      <c r="W954" s="15"/>
      <c r="X954" s="15"/>
      <c r="Y954" s="15"/>
      <c r="Z954" s="15"/>
      <c r="AA954" s="15"/>
    </row>
    <row r="955" spans="2:27" s="13" customFormat="1">
      <c r="B955" s="12"/>
      <c r="L955" s="14"/>
      <c r="M955" s="14"/>
      <c r="N955" s="14"/>
      <c r="O955" s="15"/>
      <c r="P955" s="15"/>
      <c r="Q955" s="15"/>
      <c r="R955" s="15"/>
      <c r="S955" s="15"/>
      <c r="T955" s="15"/>
      <c r="U955" s="15"/>
      <c r="V955" s="15"/>
      <c r="W955" s="15"/>
      <c r="X955" s="15"/>
      <c r="Y955" s="15"/>
      <c r="Z955" s="15"/>
      <c r="AA955" s="15"/>
    </row>
    <row r="956" spans="2:27" s="13" customFormat="1">
      <c r="B956" s="12"/>
      <c r="L956" s="14"/>
      <c r="M956" s="14"/>
      <c r="N956" s="14"/>
      <c r="O956" s="15"/>
      <c r="P956" s="15"/>
      <c r="Q956" s="15"/>
      <c r="R956" s="15"/>
      <c r="S956" s="15"/>
      <c r="T956" s="15"/>
      <c r="U956" s="15"/>
      <c r="V956" s="15"/>
      <c r="W956" s="15"/>
      <c r="X956" s="15"/>
      <c r="Y956" s="15"/>
      <c r="Z956" s="15"/>
      <c r="AA956" s="15"/>
    </row>
    <row r="957" spans="2:27" s="13" customFormat="1">
      <c r="B957" s="12"/>
      <c r="L957" s="14"/>
      <c r="M957" s="14"/>
      <c r="N957" s="14"/>
      <c r="O957" s="15"/>
      <c r="P957" s="15"/>
      <c r="Q957" s="15"/>
      <c r="R957" s="15"/>
      <c r="S957" s="15"/>
      <c r="T957" s="15"/>
      <c r="U957" s="15"/>
      <c r="V957" s="15"/>
      <c r="W957" s="15"/>
      <c r="X957" s="15"/>
      <c r="Y957" s="15"/>
      <c r="Z957" s="15"/>
      <c r="AA957" s="15"/>
    </row>
    <row r="958" spans="2:27" s="13" customFormat="1">
      <c r="B958" s="12"/>
      <c r="L958" s="14"/>
      <c r="M958" s="14"/>
      <c r="N958" s="14"/>
      <c r="O958" s="15"/>
      <c r="P958" s="15"/>
      <c r="Q958" s="15"/>
      <c r="R958" s="15"/>
      <c r="S958" s="15"/>
      <c r="T958" s="15"/>
      <c r="U958" s="15"/>
      <c r="V958" s="15"/>
      <c r="W958" s="15"/>
      <c r="X958" s="15"/>
      <c r="Y958" s="15"/>
      <c r="Z958" s="15"/>
      <c r="AA958" s="15"/>
    </row>
    <row r="959" spans="2:27" s="13" customFormat="1">
      <c r="B959" s="12"/>
      <c r="L959" s="14"/>
      <c r="M959" s="14"/>
      <c r="N959" s="14"/>
      <c r="O959" s="15"/>
      <c r="P959" s="15"/>
      <c r="Q959" s="15"/>
      <c r="R959" s="15"/>
      <c r="S959" s="15"/>
      <c r="T959" s="15"/>
      <c r="U959" s="15"/>
      <c r="V959" s="15"/>
      <c r="W959" s="15"/>
      <c r="X959" s="15"/>
      <c r="Y959" s="15"/>
      <c r="Z959" s="15"/>
      <c r="AA959" s="15"/>
    </row>
    <row r="960" spans="2:27" s="13" customFormat="1">
      <c r="B960" s="12"/>
      <c r="L960" s="14"/>
      <c r="M960" s="14"/>
      <c r="N960" s="14"/>
      <c r="O960" s="15"/>
      <c r="P960" s="15"/>
      <c r="Q960" s="15"/>
      <c r="R960" s="15"/>
      <c r="S960" s="15"/>
      <c r="T960" s="15"/>
      <c r="U960" s="15"/>
      <c r="V960" s="15"/>
      <c r="W960" s="15"/>
      <c r="X960" s="15"/>
      <c r="Y960" s="15"/>
      <c r="Z960" s="15"/>
      <c r="AA960" s="15"/>
    </row>
    <row r="961" spans="2:27" s="13" customFormat="1">
      <c r="B961" s="12"/>
      <c r="L961" s="14"/>
      <c r="M961" s="14"/>
      <c r="N961" s="14"/>
      <c r="O961" s="15"/>
      <c r="P961" s="15"/>
      <c r="Q961" s="15"/>
      <c r="R961" s="15"/>
      <c r="S961" s="15"/>
      <c r="T961" s="15"/>
      <c r="U961" s="15"/>
      <c r="V961" s="15"/>
      <c r="W961" s="15"/>
      <c r="X961" s="15"/>
      <c r="Y961" s="15"/>
      <c r="Z961" s="15"/>
      <c r="AA961" s="15"/>
    </row>
    <row r="962" spans="2:27" s="13" customFormat="1">
      <c r="B962" s="12"/>
      <c r="L962" s="14"/>
      <c r="M962" s="14"/>
      <c r="N962" s="14"/>
      <c r="O962" s="15"/>
      <c r="P962" s="15"/>
      <c r="Q962" s="15"/>
      <c r="R962" s="15"/>
      <c r="S962" s="15"/>
      <c r="T962" s="15"/>
      <c r="U962" s="15"/>
      <c r="V962" s="15"/>
      <c r="W962" s="15"/>
      <c r="X962" s="15"/>
      <c r="Y962" s="15"/>
      <c r="Z962" s="15"/>
      <c r="AA962" s="15"/>
    </row>
    <row r="963" spans="2:27" s="13" customFormat="1">
      <c r="B963" s="12"/>
      <c r="L963" s="14"/>
      <c r="M963" s="14"/>
      <c r="N963" s="14"/>
      <c r="O963" s="15"/>
      <c r="P963" s="15"/>
      <c r="Q963" s="15"/>
      <c r="R963" s="15"/>
      <c r="S963" s="15"/>
      <c r="T963" s="15"/>
      <c r="U963" s="15"/>
      <c r="V963" s="15"/>
      <c r="W963" s="15"/>
      <c r="X963" s="15"/>
      <c r="Y963" s="15"/>
      <c r="Z963" s="15"/>
      <c r="AA963" s="15"/>
    </row>
    <row r="964" spans="2:27" s="13" customFormat="1">
      <c r="B964" s="12"/>
      <c r="L964" s="14"/>
      <c r="M964" s="14"/>
      <c r="N964" s="14"/>
      <c r="O964" s="15"/>
      <c r="P964" s="15"/>
      <c r="Q964" s="15"/>
      <c r="R964" s="15"/>
      <c r="S964" s="15"/>
      <c r="T964" s="15"/>
      <c r="U964" s="15"/>
      <c r="V964" s="15"/>
      <c r="W964" s="15"/>
      <c r="X964" s="15"/>
      <c r="Y964" s="15"/>
      <c r="Z964" s="15"/>
      <c r="AA964" s="15"/>
    </row>
    <row r="965" spans="2:27" s="13" customFormat="1">
      <c r="B965" s="12"/>
      <c r="L965" s="14"/>
      <c r="M965" s="14"/>
      <c r="N965" s="14"/>
      <c r="O965" s="15"/>
      <c r="P965" s="15"/>
      <c r="Q965" s="15"/>
      <c r="R965" s="15"/>
      <c r="S965" s="15"/>
      <c r="T965" s="15"/>
      <c r="U965" s="15"/>
      <c r="V965" s="15"/>
      <c r="W965" s="15"/>
      <c r="X965" s="15"/>
      <c r="Y965" s="15"/>
      <c r="Z965" s="15"/>
      <c r="AA965" s="15"/>
    </row>
    <row r="966" spans="2:27" s="13" customFormat="1">
      <c r="B966" s="12"/>
      <c r="L966" s="14"/>
      <c r="M966" s="14"/>
      <c r="N966" s="14"/>
      <c r="O966" s="15"/>
      <c r="P966" s="15"/>
      <c r="Q966" s="15"/>
      <c r="R966" s="15"/>
      <c r="S966" s="15"/>
      <c r="T966" s="15"/>
      <c r="U966" s="15"/>
      <c r="V966" s="15"/>
      <c r="W966" s="15"/>
      <c r="X966" s="15"/>
      <c r="Y966" s="15"/>
      <c r="Z966" s="15"/>
      <c r="AA966" s="15"/>
    </row>
    <row r="967" spans="2:27" s="13" customFormat="1">
      <c r="B967" s="12"/>
      <c r="L967" s="14"/>
      <c r="M967" s="14"/>
      <c r="N967" s="14"/>
      <c r="O967" s="15"/>
      <c r="P967" s="15"/>
      <c r="Q967" s="15"/>
      <c r="R967" s="15"/>
      <c r="S967" s="15"/>
      <c r="T967" s="15"/>
      <c r="U967" s="15"/>
      <c r="V967" s="15"/>
      <c r="W967" s="15"/>
      <c r="X967" s="15"/>
      <c r="Y967" s="15"/>
      <c r="Z967" s="15"/>
      <c r="AA967" s="15"/>
    </row>
    <row r="968" spans="2:27" s="13" customFormat="1">
      <c r="B968" s="12"/>
      <c r="L968" s="14"/>
      <c r="M968" s="14"/>
      <c r="N968" s="14"/>
      <c r="O968" s="15"/>
      <c r="P968" s="15"/>
      <c r="Q968" s="15"/>
      <c r="R968" s="15"/>
      <c r="S968" s="15"/>
      <c r="T968" s="15"/>
      <c r="U968" s="15"/>
      <c r="V968" s="15"/>
      <c r="W968" s="15"/>
      <c r="X968" s="15"/>
      <c r="Y968" s="15"/>
      <c r="Z968" s="15"/>
      <c r="AA968" s="15"/>
    </row>
    <row r="969" spans="2:27" s="13" customFormat="1">
      <c r="B969" s="12"/>
      <c r="L969" s="14"/>
      <c r="M969" s="14"/>
      <c r="N969" s="14"/>
      <c r="O969" s="15"/>
      <c r="P969" s="15"/>
      <c r="Q969" s="15"/>
      <c r="R969" s="15"/>
      <c r="S969" s="15"/>
      <c r="T969" s="15"/>
      <c r="U969" s="15"/>
      <c r="V969" s="15"/>
      <c r="W969" s="15"/>
      <c r="X969" s="15"/>
      <c r="Y969" s="15"/>
      <c r="Z969" s="15"/>
      <c r="AA969" s="15"/>
    </row>
    <row r="970" spans="2:27" s="13" customFormat="1">
      <c r="B970" s="12"/>
      <c r="L970" s="14"/>
      <c r="M970" s="14"/>
      <c r="N970" s="14"/>
      <c r="O970" s="15"/>
      <c r="P970" s="15"/>
      <c r="Q970" s="15"/>
      <c r="R970" s="15"/>
      <c r="S970" s="15"/>
      <c r="T970" s="15"/>
      <c r="U970" s="15"/>
      <c r="V970" s="15"/>
      <c r="W970" s="15"/>
      <c r="X970" s="15"/>
      <c r="Y970" s="15"/>
      <c r="Z970" s="15"/>
      <c r="AA970" s="15"/>
    </row>
    <row r="971" spans="2:27" s="13" customFormat="1">
      <c r="B971" s="12"/>
      <c r="L971" s="14"/>
      <c r="M971" s="14"/>
      <c r="N971" s="14"/>
      <c r="O971" s="15"/>
      <c r="P971" s="15"/>
      <c r="Q971" s="15"/>
      <c r="R971" s="15"/>
      <c r="S971" s="15"/>
      <c r="T971" s="15"/>
      <c r="U971" s="15"/>
      <c r="V971" s="15"/>
      <c r="W971" s="15"/>
      <c r="X971" s="15"/>
      <c r="Y971" s="15"/>
      <c r="Z971" s="15"/>
      <c r="AA971" s="15"/>
    </row>
    <row r="972" spans="2:27" s="13" customFormat="1">
      <c r="B972" s="12"/>
      <c r="L972" s="14"/>
      <c r="M972" s="14"/>
      <c r="N972" s="14"/>
      <c r="O972" s="15"/>
      <c r="P972" s="15"/>
      <c r="Q972" s="15"/>
      <c r="R972" s="15"/>
      <c r="S972" s="15"/>
      <c r="T972" s="15"/>
      <c r="U972" s="15"/>
      <c r="V972" s="15"/>
      <c r="W972" s="15"/>
      <c r="X972" s="15"/>
      <c r="Y972" s="15"/>
      <c r="Z972" s="15"/>
      <c r="AA972" s="15"/>
    </row>
    <row r="973" spans="2:27" s="13" customFormat="1">
      <c r="B973" s="12"/>
      <c r="L973" s="14"/>
      <c r="M973" s="14"/>
      <c r="N973" s="14"/>
      <c r="O973" s="15"/>
      <c r="P973" s="15"/>
      <c r="Q973" s="15"/>
      <c r="R973" s="15"/>
      <c r="S973" s="15"/>
      <c r="T973" s="15"/>
      <c r="U973" s="15"/>
      <c r="V973" s="15"/>
      <c r="W973" s="15"/>
      <c r="X973" s="15"/>
      <c r="Y973" s="15"/>
      <c r="Z973" s="15"/>
      <c r="AA973" s="15"/>
    </row>
    <row r="974" spans="2:27" s="13" customFormat="1">
      <c r="B974" s="12"/>
      <c r="L974" s="14"/>
      <c r="M974" s="14"/>
      <c r="N974" s="14"/>
      <c r="O974" s="15"/>
      <c r="P974" s="15"/>
      <c r="Q974" s="15"/>
      <c r="R974" s="15"/>
      <c r="S974" s="15"/>
      <c r="T974" s="15"/>
      <c r="U974" s="15"/>
      <c r="V974" s="15"/>
      <c r="W974" s="15"/>
      <c r="X974" s="15"/>
      <c r="Y974" s="15"/>
      <c r="Z974" s="15"/>
      <c r="AA974" s="15"/>
    </row>
    <row r="975" spans="2:27" s="13" customFormat="1">
      <c r="B975" s="12"/>
      <c r="L975" s="14"/>
      <c r="M975" s="14"/>
      <c r="N975" s="14"/>
      <c r="O975" s="15"/>
      <c r="P975" s="15"/>
      <c r="Q975" s="15"/>
      <c r="R975" s="15"/>
      <c r="S975" s="15"/>
      <c r="T975" s="15"/>
      <c r="U975" s="15"/>
      <c r="V975" s="15"/>
      <c r="W975" s="15"/>
      <c r="X975" s="15"/>
      <c r="Y975" s="15"/>
      <c r="Z975" s="15"/>
      <c r="AA975" s="15"/>
    </row>
    <row r="976" spans="2:27" s="13" customFormat="1">
      <c r="B976" s="12"/>
      <c r="L976" s="14"/>
      <c r="M976" s="14"/>
      <c r="N976" s="14"/>
      <c r="O976" s="15"/>
      <c r="P976" s="15"/>
      <c r="Q976" s="15"/>
      <c r="R976" s="15"/>
      <c r="S976" s="15"/>
      <c r="T976" s="15"/>
      <c r="U976" s="15"/>
      <c r="V976" s="15"/>
      <c r="W976" s="15"/>
      <c r="X976" s="15"/>
      <c r="Y976" s="15"/>
      <c r="Z976" s="15"/>
      <c r="AA976" s="15"/>
    </row>
    <row r="977" spans="2:27" s="13" customFormat="1">
      <c r="B977" s="12"/>
      <c r="L977" s="14"/>
      <c r="M977" s="14"/>
      <c r="N977" s="14"/>
      <c r="O977" s="15"/>
      <c r="P977" s="15"/>
      <c r="Q977" s="15"/>
      <c r="R977" s="15"/>
      <c r="S977" s="15"/>
      <c r="T977" s="15"/>
      <c r="U977" s="15"/>
      <c r="V977" s="15"/>
      <c r="W977" s="15"/>
      <c r="X977" s="15"/>
      <c r="Y977" s="15"/>
      <c r="Z977" s="15"/>
      <c r="AA977" s="15"/>
    </row>
    <row r="978" spans="2:27" s="13" customFormat="1">
      <c r="B978" s="12"/>
      <c r="L978" s="14"/>
      <c r="M978" s="14"/>
      <c r="N978" s="14"/>
      <c r="O978" s="15"/>
      <c r="P978" s="15"/>
      <c r="Q978" s="15"/>
      <c r="R978" s="15"/>
      <c r="S978" s="15"/>
      <c r="T978" s="15"/>
      <c r="U978" s="15"/>
      <c r="V978" s="15"/>
      <c r="W978" s="15"/>
      <c r="X978" s="15"/>
      <c r="Y978" s="15"/>
      <c r="Z978" s="15"/>
      <c r="AA978" s="15"/>
    </row>
    <row r="979" spans="2:27" s="13" customFormat="1">
      <c r="B979" s="12"/>
      <c r="L979" s="14"/>
      <c r="M979" s="14"/>
      <c r="N979" s="14"/>
      <c r="O979" s="15"/>
      <c r="P979" s="15"/>
      <c r="Q979" s="15"/>
      <c r="R979" s="15"/>
      <c r="S979" s="15"/>
      <c r="T979" s="15"/>
      <c r="U979" s="15"/>
      <c r="V979" s="15"/>
      <c r="W979" s="15"/>
      <c r="X979" s="15"/>
      <c r="Y979" s="15"/>
      <c r="Z979" s="15"/>
      <c r="AA979" s="15"/>
    </row>
    <row r="980" spans="2:27" s="13" customFormat="1">
      <c r="B980" s="12"/>
      <c r="L980" s="14"/>
      <c r="M980" s="14"/>
      <c r="N980" s="14"/>
      <c r="O980" s="15"/>
      <c r="P980" s="15"/>
      <c r="Q980" s="15"/>
      <c r="R980" s="15"/>
      <c r="S980" s="15"/>
      <c r="T980" s="15"/>
      <c r="U980" s="15"/>
      <c r="V980" s="15"/>
      <c r="W980" s="15"/>
      <c r="X980" s="15"/>
      <c r="Y980" s="15"/>
      <c r="Z980" s="15"/>
      <c r="AA980" s="15"/>
    </row>
    <row r="981" spans="2:27" s="13" customFormat="1">
      <c r="B981" s="12"/>
      <c r="L981" s="14"/>
      <c r="M981" s="14"/>
      <c r="N981" s="14"/>
      <c r="O981" s="15"/>
      <c r="P981" s="15"/>
      <c r="Q981" s="15"/>
      <c r="R981" s="15"/>
      <c r="S981" s="15"/>
      <c r="T981" s="15"/>
      <c r="U981" s="15"/>
      <c r="V981" s="15"/>
      <c r="W981" s="15"/>
      <c r="X981" s="15"/>
      <c r="Y981" s="15"/>
      <c r="Z981" s="15"/>
      <c r="AA981" s="15"/>
    </row>
    <row r="982" spans="2:27" s="13" customFormat="1">
      <c r="B982" s="12"/>
      <c r="L982" s="14"/>
      <c r="M982" s="14"/>
      <c r="N982" s="14"/>
      <c r="O982" s="15"/>
      <c r="P982" s="15"/>
      <c r="Q982" s="15"/>
      <c r="R982" s="15"/>
      <c r="S982" s="15"/>
      <c r="T982" s="15"/>
      <c r="U982" s="15"/>
      <c r="V982" s="15"/>
      <c r="W982" s="15"/>
      <c r="X982" s="15"/>
      <c r="Y982" s="15"/>
      <c r="Z982" s="15"/>
      <c r="AA982" s="15"/>
    </row>
    <row r="983" spans="2:27" s="13" customFormat="1">
      <c r="B983" s="12"/>
      <c r="L983" s="14"/>
      <c r="M983" s="14"/>
      <c r="N983" s="14"/>
      <c r="O983" s="15"/>
      <c r="P983" s="15"/>
      <c r="Q983" s="15"/>
      <c r="R983" s="15"/>
      <c r="S983" s="15"/>
      <c r="T983" s="15"/>
      <c r="U983" s="15"/>
      <c r="V983" s="15"/>
      <c r="W983" s="15"/>
      <c r="X983" s="15"/>
      <c r="Y983" s="15"/>
      <c r="Z983" s="15"/>
      <c r="AA983" s="15"/>
    </row>
    <row r="984" spans="2:27" s="13" customFormat="1">
      <c r="B984" s="12"/>
      <c r="L984" s="14"/>
      <c r="M984" s="14"/>
      <c r="N984" s="14"/>
      <c r="O984" s="15"/>
      <c r="P984" s="15"/>
      <c r="Q984" s="15"/>
      <c r="R984" s="15"/>
      <c r="S984" s="15"/>
      <c r="T984" s="15"/>
      <c r="U984" s="15"/>
      <c r="V984" s="15"/>
      <c r="W984" s="15"/>
      <c r="X984" s="15"/>
      <c r="Y984" s="15"/>
      <c r="Z984" s="15"/>
      <c r="AA984" s="15"/>
    </row>
    <row r="985" spans="2:27" s="13" customFormat="1">
      <c r="B985" s="12"/>
      <c r="L985" s="14"/>
      <c r="M985" s="14"/>
      <c r="N985" s="14"/>
      <c r="O985" s="15"/>
      <c r="P985" s="15"/>
      <c r="Q985" s="15"/>
      <c r="R985" s="15"/>
      <c r="S985" s="15"/>
      <c r="T985" s="15"/>
      <c r="U985" s="15"/>
      <c r="V985" s="15"/>
      <c r="W985" s="15"/>
      <c r="X985" s="15"/>
      <c r="Y985" s="15"/>
      <c r="Z985" s="15"/>
      <c r="AA985" s="15"/>
    </row>
    <row r="986" spans="2:27" s="13" customFormat="1">
      <c r="B986" s="12"/>
      <c r="L986" s="14"/>
      <c r="M986" s="14"/>
      <c r="N986" s="14"/>
      <c r="O986" s="15"/>
      <c r="P986" s="15"/>
      <c r="Q986" s="15"/>
      <c r="R986" s="15"/>
      <c r="S986" s="15"/>
      <c r="T986" s="15"/>
      <c r="U986" s="15"/>
      <c r="V986" s="15"/>
      <c r="W986" s="15"/>
      <c r="X986" s="15"/>
      <c r="Y986" s="15"/>
      <c r="Z986" s="15"/>
      <c r="AA986" s="15"/>
    </row>
    <row r="987" spans="2:27" s="13" customFormat="1">
      <c r="B987" s="12"/>
      <c r="L987" s="14"/>
      <c r="M987" s="14"/>
      <c r="N987" s="14"/>
      <c r="O987" s="15"/>
      <c r="P987" s="15"/>
      <c r="Q987" s="15"/>
      <c r="R987" s="15"/>
      <c r="S987" s="15"/>
      <c r="T987" s="15"/>
      <c r="U987" s="15"/>
      <c r="V987" s="15"/>
      <c r="W987" s="15"/>
      <c r="X987" s="15"/>
      <c r="Y987" s="15"/>
      <c r="Z987" s="15"/>
      <c r="AA987" s="15"/>
    </row>
    <row r="988" spans="2:27" s="13" customFormat="1">
      <c r="B988" s="12"/>
      <c r="L988" s="14"/>
      <c r="M988" s="14"/>
      <c r="N988" s="14"/>
      <c r="O988" s="15"/>
      <c r="P988" s="15"/>
      <c r="Q988" s="15"/>
      <c r="R988" s="15"/>
      <c r="S988" s="15"/>
      <c r="T988" s="15"/>
      <c r="U988" s="15"/>
      <c r="V988" s="15"/>
      <c r="W988" s="15"/>
      <c r="X988" s="15"/>
      <c r="Y988" s="15"/>
      <c r="Z988" s="15"/>
      <c r="AA988" s="15"/>
    </row>
    <row r="989" spans="2:27" s="13" customFormat="1">
      <c r="B989" s="12"/>
      <c r="L989" s="14"/>
      <c r="M989" s="14"/>
      <c r="N989" s="14"/>
      <c r="O989" s="15"/>
      <c r="P989" s="15"/>
      <c r="Q989" s="15"/>
      <c r="R989" s="15"/>
      <c r="S989" s="15"/>
      <c r="T989" s="15"/>
      <c r="U989" s="15"/>
      <c r="V989" s="15"/>
      <c r="W989" s="15"/>
      <c r="X989" s="15"/>
      <c r="Y989" s="15"/>
      <c r="Z989" s="15"/>
      <c r="AA989" s="15"/>
    </row>
    <row r="990" spans="2:27" s="13" customFormat="1">
      <c r="B990" s="12"/>
      <c r="L990" s="14"/>
      <c r="M990" s="14"/>
      <c r="N990" s="14"/>
      <c r="O990" s="15"/>
      <c r="P990" s="15"/>
      <c r="Q990" s="15"/>
      <c r="R990" s="15"/>
      <c r="S990" s="15"/>
      <c r="T990" s="15"/>
      <c r="U990" s="15"/>
      <c r="V990" s="15"/>
      <c r="W990" s="15"/>
      <c r="X990" s="15"/>
      <c r="Y990" s="15"/>
      <c r="Z990" s="15"/>
      <c r="AA990" s="15"/>
    </row>
    <row r="991" spans="2:27" s="13" customFormat="1">
      <c r="B991" s="12"/>
      <c r="L991" s="14"/>
      <c r="M991" s="14"/>
      <c r="N991" s="14"/>
      <c r="O991" s="15"/>
      <c r="P991" s="15"/>
      <c r="Q991" s="15"/>
      <c r="R991" s="15"/>
      <c r="S991" s="15"/>
      <c r="T991" s="15"/>
      <c r="U991" s="15"/>
      <c r="V991" s="15"/>
      <c r="W991" s="15"/>
      <c r="X991" s="15"/>
      <c r="Y991" s="15"/>
      <c r="Z991" s="15"/>
      <c r="AA991" s="15"/>
    </row>
    <row r="992" spans="2:27" s="13" customFormat="1">
      <c r="B992" s="12"/>
      <c r="L992" s="14"/>
      <c r="M992" s="14"/>
      <c r="N992" s="14"/>
      <c r="O992" s="15"/>
      <c r="P992" s="15"/>
      <c r="Q992" s="15"/>
      <c r="R992" s="15"/>
      <c r="S992" s="15"/>
      <c r="T992" s="15"/>
      <c r="U992" s="15"/>
      <c r="V992" s="15"/>
      <c r="W992" s="15"/>
      <c r="X992" s="15"/>
      <c r="Y992" s="15"/>
      <c r="Z992" s="15"/>
      <c r="AA992" s="15"/>
    </row>
    <row r="993" spans="2:27" s="13" customFormat="1">
      <c r="B993" s="12"/>
      <c r="L993" s="14"/>
      <c r="M993" s="14"/>
      <c r="N993" s="14"/>
      <c r="O993" s="15"/>
      <c r="P993" s="15"/>
      <c r="Q993" s="15"/>
      <c r="R993" s="15"/>
      <c r="S993" s="15"/>
      <c r="T993" s="15"/>
      <c r="U993" s="15"/>
      <c r="V993" s="15"/>
      <c r="W993" s="15"/>
      <c r="X993" s="15"/>
      <c r="Y993" s="15"/>
      <c r="Z993" s="15"/>
      <c r="AA993" s="15"/>
    </row>
    <row r="994" spans="2:27" s="13" customFormat="1">
      <c r="B994" s="12"/>
      <c r="L994" s="14"/>
      <c r="M994" s="14"/>
      <c r="N994" s="14"/>
      <c r="O994" s="15"/>
      <c r="P994" s="15"/>
      <c r="Q994" s="15"/>
      <c r="R994" s="15"/>
      <c r="S994" s="15"/>
      <c r="T994" s="15"/>
      <c r="U994" s="15"/>
      <c r="V994" s="15"/>
      <c r="W994" s="15"/>
      <c r="X994" s="15"/>
      <c r="Y994" s="15"/>
      <c r="Z994" s="15"/>
      <c r="AA994" s="15"/>
    </row>
    <row r="995" spans="2:27" s="13" customFormat="1">
      <c r="B995" s="12"/>
      <c r="L995" s="14"/>
      <c r="M995" s="14"/>
      <c r="N995" s="14"/>
      <c r="O995" s="15"/>
      <c r="P995" s="15"/>
      <c r="Q995" s="15"/>
      <c r="R995" s="15"/>
      <c r="S995" s="15"/>
      <c r="T995" s="15"/>
      <c r="U995" s="15"/>
      <c r="V995" s="15"/>
      <c r="W995" s="15"/>
      <c r="X995" s="15"/>
      <c r="Y995" s="15"/>
      <c r="Z995" s="15"/>
      <c r="AA995" s="15"/>
    </row>
    <row r="996" spans="2:27" s="13" customFormat="1">
      <c r="B996" s="12"/>
      <c r="L996" s="14"/>
      <c r="M996" s="14"/>
      <c r="N996" s="14"/>
      <c r="O996" s="15"/>
      <c r="P996" s="15"/>
      <c r="Q996" s="15"/>
      <c r="R996" s="15"/>
      <c r="S996" s="15"/>
      <c r="T996" s="15"/>
      <c r="U996" s="15"/>
      <c r="V996" s="15"/>
      <c r="W996" s="15"/>
      <c r="X996" s="15"/>
      <c r="Y996" s="15"/>
      <c r="Z996" s="15"/>
      <c r="AA996" s="15"/>
    </row>
    <row r="997" spans="2:27" s="13" customFormat="1">
      <c r="B997" s="12"/>
      <c r="L997" s="14"/>
      <c r="M997" s="14"/>
      <c r="N997" s="14"/>
      <c r="O997" s="15"/>
      <c r="P997" s="15"/>
      <c r="Q997" s="15"/>
      <c r="R997" s="15"/>
      <c r="S997" s="15"/>
      <c r="T997" s="15"/>
      <c r="U997" s="15"/>
      <c r="V997" s="15"/>
      <c r="W997" s="15"/>
      <c r="X997" s="15"/>
      <c r="Y997" s="15"/>
      <c r="Z997" s="15"/>
      <c r="AA997" s="15"/>
    </row>
    <row r="998" spans="2:27" s="13" customFormat="1">
      <c r="B998" s="12"/>
      <c r="L998" s="14"/>
      <c r="M998" s="14"/>
      <c r="N998" s="14"/>
      <c r="O998" s="15"/>
      <c r="P998" s="15"/>
      <c r="Q998" s="15"/>
      <c r="R998" s="15"/>
      <c r="S998" s="15"/>
      <c r="T998" s="15"/>
      <c r="U998" s="15"/>
      <c r="V998" s="15"/>
      <c r="W998" s="15"/>
      <c r="X998" s="15"/>
      <c r="Y998" s="15"/>
      <c r="Z998" s="15"/>
      <c r="AA998" s="15"/>
    </row>
    <row r="999" spans="2:27" s="13" customFormat="1">
      <c r="B999" s="12"/>
      <c r="L999" s="14"/>
      <c r="M999" s="14"/>
      <c r="N999" s="14"/>
      <c r="O999" s="15"/>
      <c r="P999" s="15"/>
      <c r="Q999" s="15"/>
      <c r="R999" s="15"/>
      <c r="S999" s="15"/>
      <c r="T999" s="15"/>
      <c r="U999" s="15"/>
      <c r="V999" s="15"/>
      <c r="W999" s="15"/>
      <c r="X999" s="15"/>
      <c r="Y999" s="15"/>
      <c r="Z999" s="15"/>
      <c r="AA999" s="15"/>
    </row>
    <row r="1000" spans="2:27" s="13" customFormat="1">
      <c r="B1000" s="12"/>
      <c r="L1000" s="14"/>
      <c r="M1000" s="14"/>
      <c r="N1000" s="14"/>
      <c r="O1000" s="15"/>
      <c r="P1000" s="15"/>
      <c r="Q1000" s="15"/>
      <c r="R1000" s="15"/>
      <c r="S1000" s="15"/>
      <c r="T1000" s="15"/>
      <c r="U1000" s="15"/>
      <c r="V1000" s="15"/>
      <c r="W1000" s="15"/>
      <c r="X1000" s="15"/>
      <c r="Y1000" s="15"/>
      <c r="Z1000" s="15"/>
      <c r="AA1000" s="15"/>
    </row>
    <row r="1001" spans="2:27" s="13" customFormat="1">
      <c r="B1001" s="12"/>
      <c r="L1001" s="14"/>
      <c r="M1001" s="14"/>
      <c r="N1001" s="14"/>
      <c r="O1001" s="15"/>
      <c r="P1001" s="15"/>
      <c r="Q1001" s="15"/>
      <c r="R1001" s="15"/>
      <c r="S1001" s="15"/>
      <c r="T1001" s="15"/>
      <c r="U1001" s="15"/>
      <c r="V1001" s="15"/>
      <c r="W1001" s="15"/>
      <c r="X1001" s="15"/>
      <c r="Y1001" s="15"/>
      <c r="Z1001" s="15"/>
      <c r="AA1001" s="15"/>
    </row>
    <row r="1002" spans="2:27" s="13" customFormat="1">
      <c r="B1002" s="12"/>
      <c r="L1002" s="14"/>
      <c r="M1002" s="14"/>
      <c r="N1002" s="14"/>
      <c r="O1002" s="15"/>
      <c r="P1002" s="15"/>
      <c r="Q1002" s="15"/>
      <c r="R1002" s="15"/>
      <c r="S1002" s="15"/>
      <c r="T1002" s="15"/>
      <c r="U1002" s="15"/>
      <c r="V1002" s="15"/>
      <c r="W1002" s="15"/>
      <c r="X1002" s="15"/>
      <c r="Y1002" s="15"/>
      <c r="Z1002" s="15"/>
      <c r="AA1002" s="15"/>
    </row>
    <row r="1003" spans="2:27" s="13" customFormat="1">
      <c r="B1003" s="12"/>
      <c r="L1003" s="14"/>
      <c r="M1003" s="14"/>
      <c r="N1003" s="14"/>
      <c r="O1003" s="15"/>
      <c r="P1003" s="15"/>
      <c r="Q1003" s="15"/>
      <c r="R1003" s="15"/>
      <c r="S1003" s="15"/>
      <c r="T1003" s="15"/>
      <c r="U1003" s="15"/>
      <c r="V1003" s="15"/>
      <c r="W1003" s="15"/>
      <c r="X1003" s="15"/>
      <c r="Y1003" s="15"/>
      <c r="Z1003" s="15"/>
      <c r="AA1003" s="15"/>
    </row>
    <row r="1004" spans="2:27" s="13" customFormat="1">
      <c r="B1004" s="12"/>
      <c r="L1004" s="14"/>
      <c r="M1004" s="14"/>
      <c r="N1004" s="14"/>
      <c r="O1004" s="15"/>
      <c r="P1004" s="15"/>
      <c r="Q1004" s="15"/>
      <c r="R1004" s="15"/>
      <c r="S1004" s="15"/>
      <c r="T1004" s="15"/>
      <c r="U1004" s="15"/>
      <c r="V1004" s="15"/>
      <c r="W1004" s="15"/>
      <c r="X1004" s="15"/>
      <c r="Y1004" s="15"/>
      <c r="Z1004" s="15"/>
      <c r="AA1004" s="15"/>
    </row>
    <row r="1005" spans="2:27" s="13" customFormat="1">
      <c r="B1005" s="12"/>
      <c r="L1005" s="14"/>
      <c r="M1005" s="14"/>
      <c r="N1005" s="14"/>
      <c r="O1005" s="15"/>
      <c r="P1005" s="15"/>
      <c r="Q1005" s="15"/>
      <c r="R1005" s="15"/>
      <c r="S1005" s="15"/>
      <c r="T1005" s="15"/>
      <c r="U1005" s="15"/>
      <c r="V1005" s="15"/>
      <c r="W1005" s="15"/>
      <c r="X1005" s="15"/>
      <c r="Y1005" s="15"/>
      <c r="Z1005" s="15"/>
      <c r="AA1005" s="15"/>
    </row>
    <row r="1006" spans="2:27" s="13" customFormat="1">
      <c r="B1006" s="12"/>
      <c r="L1006" s="14"/>
      <c r="M1006" s="14"/>
      <c r="N1006" s="14"/>
      <c r="O1006" s="15"/>
      <c r="P1006" s="15"/>
      <c r="Q1006" s="15"/>
      <c r="R1006" s="15"/>
      <c r="S1006" s="15"/>
      <c r="T1006" s="15"/>
      <c r="U1006" s="15"/>
      <c r="V1006" s="15"/>
      <c r="W1006" s="15"/>
      <c r="X1006" s="15"/>
      <c r="Y1006" s="15"/>
      <c r="Z1006" s="15"/>
      <c r="AA1006" s="15"/>
    </row>
    <row r="1007" spans="2:27" s="13" customFormat="1">
      <c r="B1007" s="12"/>
      <c r="L1007" s="14"/>
      <c r="M1007" s="14"/>
      <c r="N1007" s="14"/>
      <c r="O1007" s="15"/>
      <c r="P1007" s="15"/>
      <c r="Q1007" s="15"/>
      <c r="R1007" s="15"/>
      <c r="S1007" s="15"/>
      <c r="T1007" s="15"/>
      <c r="U1007" s="15"/>
      <c r="V1007" s="15"/>
      <c r="W1007" s="15"/>
      <c r="X1007" s="15"/>
      <c r="Y1007" s="15"/>
      <c r="Z1007" s="15"/>
      <c r="AA1007" s="15"/>
    </row>
    <row r="1008" spans="2:27" s="13" customFormat="1">
      <c r="B1008" s="12"/>
      <c r="L1008" s="14"/>
      <c r="M1008" s="14"/>
      <c r="N1008" s="14"/>
      <c r="O1008" s="15"/>
      <c r="P1008" s="15"/>
      <c r="Q1008" s="15"/>
      <c r="R1008" s="15"/>
      <c r="S1008" s="15"/>
      <c r="T1008" s="15"/>
      <c r="U1008" s="15"/>
      <c r="V1008" s="15"/>
      <c r="W1008" s="15"/>
      <c r="X1008" s="15"/>
      <c r="Y1008" s="15"/>
      <c r="Z1008" s="15"/>
      <c r="AA1008" s="15"/>
    </row>
    <row r="1009" spans="2:27" s="13" customFormat="1">
      <c r="B1009" s="12"/>
      <c r="L1009" s="14"/>
      <c r="M1009" s="14"/>
      <c r="N1009" s="14"/>
      <c r="O1009" s="15"/>
      <c r="P1009" s="15"/>
      <c r="Q1009" s="15"/>
      <c r="R1009" s="15"/>
      <c r="S1009" s="15"/>
      <c r="T1009" s="15"/>
      <c r="U1009" s="15"/>
      <c r="V1009" s="15"/>
      <c r="W1009" s="15"/>
      <c r="X1009" s="15"/>
      <c r="Y1009" s="15"/>
      <c r="Z1009" s="15"/>
      <c r="AA1009" s="15"/>
    </row>
    <row r="1010" spans="2:27" s="13" customFormat="1">
      <c r="B1010" s="12"/>
      <c r="L1010" s="14"/>
      <c r="M1010" s="14"/>
      <c r="N1010" s="14"/>
      <c r="O1010" s="15"/>
      <c r="P1010" s="15"/>
      <c r="Q1010" s="15"/>
      <c r="R1010" s="15"/>
      <c r="S1010" s="15"/>
      <c r="T1010" s="15"/>
      <c r="U1010" s="15"/>
      <c r="V1010" s="15"/>
      <c r="W1010" s="15"/>
      <c r="X1010" s="15"/>
      <c r="Y1010" s="15"/>
      <c r="Z1010" s="15"/>
      <c r="AA1010" s="15"/>
    </row>
    <row r="1011" spans="2:27" s="13" customFormat="1">
      <c r="B1011" s="12"/>
      <c r="L1011" s="14"/>
      <c r="M1011" s="14"/>
      <c r="N1011" s="14"/>
      <c r="O1011" s="15"/>
      <c r="P1011" s="15"/>
      <c r="Q1011" s="15"/>
      <c r="R1011" s="15"/>
      <c r="S1011" s="15"/>
      <c r="T1011" s="15"/>
      <c r="U1011" s="15"/>
      <c r="V1011" s="15"/>
      <c r="W1011" s="15"/>
      <c r="X1011" s="15"/>
      <c r="Y1011" s="15"/>
      <c r="Z1011" s="15"/>
      <c r="AA1011" s="15"/>
    </row>
    <row r="1012" spans="2:27" s="13" customFormat="1">
      <c r="B1012" s="12"/>
      <c r="L1012" s="14"/>
      <c r="M1012" s="14"/>
      <c r="N1012" s="14"/>
      <c r="O1012" s="15"/>
      <c r="P1012" s="15"/>
      <c r="Q1012" s="15"/>
      <c r="R1012" s="15"/>
      <c r="S1012" s="15"/>
      <c r="T1012" s="15"/>
      <c r="U1012" s="15"/>
      <c r="V1012" s="15"/>
      <c r="W1012" s="15"/>
      <c r="X1012" s="15"/>
      <c r="Y1012" s="15"/>
      <c r="Z1012" s="15"/>
      <c r="AA1012" s="15"/>
    </row>
    <row r="1013" spans="2:27" s="13" customFormat="1">
      <c r="B1013" s="12"/>
      <c r="L1013" s="14"/>
      <c r="M1013" s="14"/>
      <c r="N1013" s="14"/>
      <c r="O1013" s="15"/>
      <c r="P1013" s="15"/>
      <c r="Q1013" s="15"/>
      <c r="R1013" s="15"/>
      <c r="S1013" s="15"/>
      <c r="T1013" s="15"/>
      <c r="U1013" s="15"/>
      <c r="V1013" s="15"/>
      <c r="W1013" s="15"/>
      <c r="X1013" s="15"/>
      <c r="Y1013" s="15"/>
      <c r="Z1013" s="15"/>
      <c r="AA1013" s="15"/>
    </row>
    <row r="1014" spans="2:27" s="13" customFormat="1">
      <c r="B1014" s="12"/>
      <c r="L1014" s="14"/>
      <c r="M1014" s="14"/>
      <c r="N1014" s="14"/>
      <c r="O1014" s="15"/>
      <c r="P1014" s="15"/>
      <c r="Q1014" s="15"/>
      <c r="R1014" s="15"/>
      <c r="S1014" s="15"/>
      <c r="T1014" s="15"/>
      <c r="U1014" s="15"/>
      <c r="V1014" s="15"/>
      <c r="W1014" s="15"/>
      <c r="X1014" s="15"/>
      <c r="Y1014" s="15"/>
      <c r="Z1014" s="15"/>
      <c r="AA1014" s="15"/>
    </row>
    <row r="1015" spans="2:27" s="13" customFormat="1">
      <c r="B1015" s="12"/>
      <c r="L1015" s="14"/>
      <c r="M1015" s="14"/>
      <c r="N1015" s="14"/>
      <c r="O1015" s="15"/>
      <c r="P1015" s="15"/>
      <c r="Q1015" s="15"/>
      <c r="R1015" s="15"/>
      <c r="S1015" s="15"/>
      <c r="T1015" s="15"/>
      <c r="U1015" s="15"/>
      <c r="V1015" s="15"/>
      <c r="W1015" s="15"/>
      <c r="X1015" s="15"/>
      <c r="Y1015" s="15"/>
      <c r="Z1015" s="15"/>
      <c r="AA1015" s="15"/>
    </row>
    <row r="1016" spans="2:27" s="13" customFormat="1">
      <c r="B1016" s="12"/>
      <c r="L1016" s="14"/>
      <c r="M1016" s="14"/>
      <c r="N1016" s="14"/>
      <c r="O1016" s="15"/>
      <c r="P1016" s="15"/>
      <c r="Q1016" s="15"/>
      <c r="R1016" s="15"/>
      <c r="S1016" s="15"/>
      <c r="T1016" s="15"/>
      <c r="U1016" s="15"/>
      <c r="V1016" s="15"/>
      <c r="W1016" s="15"/>
      <c r="X1016" s="15"/>
      <c r="Y1016" s="15"/>
      <c r="Z1016" s="15"/>
      <c r="AA1016" s="15"/>
    </row>
    <row r="1017" spans="2:27" s="13" customFormat="1">
      <c r="B1017" s="12"/>
      <c r="L1017" s="14"/>
      <c r="M1017" s="14"/>
      <c r="N1017" s="14"/>
      <c r="O1017" s="15"/>
      <c r="P1017" s="15"/>
      <c r="Q1017" s="15"/>
      <c r="R1017" s="15"/>
      <c r="S1017" s="15"/>
      <c r="T1017" s="15"/>
      <c r="U1017" s="15"/>
      <c r="V1017" s="15"/>
      <c r="W1017" s="15"/>
      <c r="X1017" s="15"/>
      <c r="Y1017" s="15"/>
      <c r="Z1017" s="15"/>
      <c r="AA1017" s="15"/>
    </row>
    <row r="1018" spans="2:27" s="13" customFormat="1">
      <c r="B1018" s="12"/>
      <c r="L1018" s="14"/>
      <c r="M1018" s="14"/>
      <c r="N1018" s="14"/>
      <c r="O1018" s="15"/>
      <c r="P1018" s="15"/>
      <c r="Q1018" s="15"/>
      <c r="R1018" s="15"/>
      <c r="S1018" s="15"/>
      <c r="T1018" s="15"/>
      <c r="U1018" s="15"/>
      <c r="V1018" s="15"/>
      <c r="W1018" s="15"/>
      <c r="X1018" s="15"/>
      <c r="Y1018" s="15"/>
      <c r="Z1018" s="15"/>
      <c r="AA1018" s="15"/>
    </row>
    <row r="1019" spans="2:27" s="13" customFormat="1">
      <c r="B1019" s="12"/>
      <c r="L1019" s="14"/>
      <c r="M1019" s="14"/>
      <c r="N1019" s="14"/>
      <c r="O1019" s="15"/>
      <c r="P1019" s="15"/>
      <c r="Q1019" s="15"/>
      <c r="R1019" s="15"/>
      <c r="S1019" s="15"/>
      <c r="T1019" s="15"/>
      <c r="U1019" s="15"/>
      <c r="V1019" s="15"/>
      <c r="W1019" s="15"/>
      <c r="X1019" s="15"/>
      <c r="Y1019" s="15"/>
      <c r="Z1019" s="15"/>
      <c r="AA1019" s="15"/>
    </row>
    <row r="1020" spans="2:27" s="13" customFormat="1">
      <c r="B1020" s="12"/>
      <c r="L1020" s="14"/>
      <c r="M1020" s="14"/>
      <c r="N1020" s="14"/>
      <c r="O1020" s="15"/>
      <c r="P1020" s="15"/>
      <c r="Q1020" s="15"/>
      <c r="R1020" s="15"/>
      <c r="S1020" s="15"/>
      <c r="T1020" s="15"/>
      <c r="U1020" s="15"/>
      <c r="V1020" s="15"/>
      <c r="W1020" s="15"/>
      <c r="X1020" s="15"/>
      <c r="Y1020" s="15"/>
      <c r="Z1020" s="15"/>
      <c r="AA1020" s="15"/>
    </row>
    <row r="1021" spans="2:27" s="13" customFormat="1">
      <c r="B1021" s="12"/>
      <c r="L1021" s="14"/>
      <c r="M1021" s="14"/>
      <c r="N1021" s="14"/>
      <c r="O1021" s="15"/>
      <c r="P1021" s="15"/>
      <c r="Q1021" s="15"/>
      <c r="R1021" s="15"/>
      <c r="S1021" s="15"/>
      <c r="T1021" s="15"/>
      <c r="U1021" s="15"/>
      <c r="V1021" s="15"/>
      <c r="W1021" s="15"/>
      <c r="X1021" s="15"/>
      <c r="Y1021" s="15"/>
      <c r="Z1021" s="15"/>
      <c r="AA1021" s="15"/>
    </row>
    <row r="1022" spans="2:27" s="13" customFormat="1">
      <c r="B1022" s="12"/>
      <c r="L1022" s="14"/>
      <c r="M1022" s="14"/>
      <c r="N1022" s="14"/>
      <c r="O1022" s="15"/>
      <c r="P1022" s="15"/>
      <c r="Q1022" s="15"/>
      <c r="R1022" s="15"/>
      <c r="S1022" s="15"/>
      <c r="T1022" s="15"/>
      <c r="U1022" s="15"/>
      <c r="V1022" s="15"/>
      <c r="W1022" s="15"/>
      <c r="X1022" s="15"/>
      <c r="Y1022" s="15"/>
      <c r="Z1022" s="15"/>
      <c r="AA1022" s="15"/>
    </row>
    <row r="1023" spans="2:27" s="13" customFormat="1">
      <c r="B1023" s="12"/>
      <c r="L1023" s="14"/>
      <c r="M1023" s="14"/>
      <c r="N1023" s="14"/>
      <c r="O1023" s="15"/>
      <c r="P1023" s="15"/>
      <c r="Q1023" s="15"/>
      <c r="R1023" s="15"/>
      <c r="S1023" s="15"/>
      <c r="T1023" s="15"/>
      <c r="U1023" s="15"/>
      <c r="V1023" s="15"/>
      <c r="W1023" s="15"/>
      <c r="X1023" s="15"/>
      <c r="Y1023" s="15"/>
      <c r="Z1023" s="15"/>
      <c r="AA1023" s="15"/>
    </row>
    <row r="1024" spans="2:27" s="13" customFormat="1">
      <c r="B1024" s="12"/>
      <c r="L1024" s="14"/>
      <c r="M1024" s="14"/>
      <c r="N1024" s="14"/>
      <c r="O1024" s="15"/>
      <c r="P1024" s="15"/>
      <c r="Q1024" s="15"/>
      <c r="R1024" s="15"/>
      <c r="S1024" s="15"/>
      <c r="T1024" s="15"/>
      <c r="U1024" s="15"/>
      <c r="V1024" s="15"/>
      <c r="W1024" s="15"/>
      <c r="X1024" s="15"/>
      <c r="Y1024" s="15"/>
      <c r="Z1024" s="15"/>
      <c r="AA1024" s="15"/>
    </row>
    <row r="1025" spans="2:27" s="13" customFormat="1">
      <c r="B1025" s="12"/>
      <c r="L1025" s="14"/>
      <c r="M1025" s="14"/>
      <c r="N1025" s="14"/>
      <c r="O1025" s="15"/>
      <c r="P1025" s="15"/>
      <c r="Q1025" s="15"/>
      <c r="R1025" s="15"/>
      <c r="S1025" s="15"/>
      <c r="T1025" s="15"/>
      <c r="U1025" s="15"/>
      <c r="V1025" s="15"/>
      <c r="W1025" s="15"/>
      <c r="X1025" s="15"/>
      <c r="Y1025" s="15"/>
      <c r="Z1025" s="15"/>
      <c r="AA1025" s="15"/>
    </row>
    <row r="1026" spans="2:27" s="13" customFormat="1">
      <c r="B1026" s="12"/>
      <c r="L1026" s="14"/>
      <c r="M1026" s="14"/>
      <c r="N1026" s="14"/>
      <c r="O1026" s="15"/>
      <c r="P1026" s="15"/>
      <c r="Q1026" s="15"/>
      <c r="R1026" s="15"/>
      <c r="S1026" s="15"/>
      <c r="T1026" s="15"/>
      <c r="U1026" s="15"/>
      <c r="V1026" s="15"/>
      <c r="W1026" s="15"/>
      <c r="X1026" s="15"/>
      <c r="Y1026" s="15"/>
      <c r="Z1026" s="15"/>
      <c r="AA1026" s="15"/>
    </row>
    <row r="1027" spans="2:27" s="13" customFormat="1">
      <c r="B1027" s="12"/>
      <c r="L1027" s="14"/>
      <c r="M1027" s="14"/>
      <c r="N1027" s="14"/>
      <c r="O1027" s="15"/>
      <c r="P1027" s="15"/>
      <c r="Q1027" s="15"/>
      <c r="R1027" s="15"/>
      <c r="S1027" s="15"/>
      <c r="T1027" s="15"/>
      <c r="U1027" s="15"/>
      <c r="V1027" s="15"/>
      <c r="W1027" s="15"/>
      <c r="X1027" s="15"/>
      <c r="Y1027" s="15"/>
      <c r="Z1027" s="15"/>
      <c r="AA1027" s="15"/>
    </row>
    <row r="1028" spans="2:27" s="13" customFormat="1">
      <c r="B1028" s="12"/>
      <c r="L1028" s="14"/>
      <c r="M1028" s="14"/>
      <c r="N1028" s="14"/>
      <c r="O1028" s="15"/>
      <c r="P1028" s="15"/>
      <c r="Q1028" s="15"/>
      <c r="R1028" s="15"/>
      <c r="S1028" s="15"/>
      <c r="T1028" s="15"/>
      <c r="U1028" s="15"/>
      <c r="V1028" s="15"/>
      <c r="W1028" s="15"/>
      <c r="X1028" s="15"/>
      <c r="Y1028" s="15"/>
      <c r="Z1028" s="15"/>
      <c r="AA1028" s="15"/>
    </row>
    <row r="1029" spans="2:27" s="13" customFormat="1">
      <c r="B1029" s="12"/>
      <c r="L1029" s="14"/>
      <c r="M1029" s="14"/>
      <c r="N1029" s="14"/>
      <c r="O1029" s="15"/>
      <c r="P1029" s="15"/>
      <c r="Q1029" s="15"/>
      <c r="R1029" s="15"/>
      <c r="S1029" s="15"/>
      <c r="T1029" s="15"/>
      <c r="U1029" s="15"/>
      <c r="V1029" s="15"/>
      <c r="W1029" s="15"/>
      <c r="X1029" s="15"/>
      <c r="Y1029" s="15"/>
      <c r="Z1029" s="15"/>
      <c r="AA1029" s="15"/>
    </row>
    <row r="1030" spans="2:27" s="13" customFormat="1">
      <c r="B1030" s="12"/>
      <c r="L1030" s="14"/>
      <c r="M1030" s="14"/>
      <c r="N1030" s="14"/>
      <c r="O1030" s="15"/>
      <c r="P1030" s="15"/>
      <c r="Q1030" s="15"/>
      <c r="R1030" s="15"/>
      <c r="S1030" s="15"/>
      <c r="T1030" s="15"/>
      <c r="U1030" s="15"/>
      <c r="V1030" s="15"/>
      <c r="W1030" s="15"/>
      <c r="X1030" s="15"/>
      <c r="Y1030" s="15"/>
      <c r="Z1030" s="15"/>
      <c r="AA1030" s="15"/>
    </row>
    <row r="1031" spans="2:27" s="13" customFormat="1">
      <c r="B1031" s="12"/>
      <c r="L1031" s="14"/>
      <c r="M1031" s="14"/>
      <c r="N1031" s="14"/>
      <c r="O1031" s="15"/>
      <c r="P1031" s="15"/>
      <c r="Q1031" s="15"/>
      <c r="R1031" s="15"/>
      <c r="S1031" s="15"/>
      <c r="T1031" s="15"/>
      <c r="U1031" s="15"/>
      <c r="V1031" s="15"/>
      <c r="W1031" s="15"/>
      <c r="X1031" s="15"/>
      <c r="Y1031" s="15"/>
      <c r="Z1031" s="15"/>
      <c r="AA1031" s="15"/>
    </row>
    <row r="1032" spans="2:27" s="13" customFormat="1">
      <c r="B1032" s="12"/>
      <c r="L1032" s="14"/>
      <c r="M1032" s="14"/>
      <c r="N1032" s="14"/>
      <c r="O1032" s="15"/>
      <c r="P1032" s="15"/>
      <c r="Q1032" s="15"/>
      <c r="R1032" s="15"/>
      <c r="S1032" s="15"/>
      <c r="T1032" s="15"/>
      <c r="U1032" s="15"/>
      <c r="V1032" s="15"/>
      <c r="W1032" s="15"/>
      <c r="X1032" s="15"/>
      <c r="Y1032" s="15"/>
      <c r="Z1032" s="15"/>
      <c r="AA1032" s="15"/>
    </row>
    <row r="1033" spans="2:27" s="13" customFormat="1">
      <c r="B1033" s="12"/>
      <c r="L1033" s="14"/>
      <c r="M1033" s="14"/>
      <c r="N1033" s="14"/>
      <c r="O1033" s="15"/>
      <c r="P1033" s="15"/>
      <c r="Q1033" s="15"/>
      <c r="R1033" s="15"/>
      <c r="S1033" s="15"/>
      <c r="T1033" s="15"/>
      <c r="U1033" s="15"/>
      <c r="V1033" s="15"/>
      <c r="W1033" s="15"/>
      <c r="X1033" s="15"/>
      <c r="Y1033" s="15"/>
      <c r="Z1033" s="15"/>
      <c r="AA1033" s="15"/>
    </row>
    <row r="1034" spans="2:27" s="13" customFormat="1">
      <c r="B1034" s="12"/>
      <c r="L1034" s="14"/>
      <c r="M1034" s="14"/>
      <c r="N1034" s="14"/>
      <c r="O1034" s="15"/>
      <c r="P1034" s="15"/>
      <c r="Q1034" s="15"/>
      <c r="R1034" s="15"/>
      <c r="S1034" s="15"/>
      <c r="T1034" s="15"/>
      <c r="U1034" s="15"/>
      <c r="V1034" s="15"/>
      <c r="W1034" s="15"/>
      <c r="X1034" s="15"/>
      <c r="Y1034" s="15"/>
      <c r="Z1034" s="15"/>
      <c r="AA1034" s="15"/>
    </row>
    <row r="1035" spans="2:27" s="13" customFormat="1">
      <c r="B1035" s="12"/>
      <c r="L1035" s="14"/>
      <c r="M1035" s="14"/>
      <c r="N1035" s="14"/>
      <c r="O1035" s="15"/>
      <c r="P1035" s="15"/>
      <c r="Q1035" s="15"/>
      <c r="R1035" s="15"/>
      <c r="S1035" s="15"/>
      <c r="T1035" s="15"/>
      <c r="U1035" s="15"/>
      <c r="V1035" s="15"/>
      <c r="W1035" s="15"/>
      <c r="X1035" s="15"/>
      <c r="Y1035" s="15"/>
      <c r="Z1035" s="15"/>
      <c r="AA1035" s="15"/>
    </row>
    <row r="1036" spans="2:27" s="13" customFormat="1">
      <c r="B1036" s="12"/>
      <c r="L1036" s="14"/>
      <c r="M1036" s="14"/>
      <c r="N1036" s="14"/>
      <c r="O1036" s="15"/>
      <c r="P1036" s="15"/>
      <c r="Q1036" s="15"/>
      <c r="R1036" s="15"/>
      <c r="S1036" s="15"/>
      <c r="T1036" s="15"/>
      <c r="U1036" s="15"/>
      <c r="V1036" s="15"/>
      <c r="W1036" s="15"/>
      <c r="X1036" s="15"/>
      <c r="Y1036" s="15"/>
      <c r="Z1036" s="15"/>
      <c r="AA1036" s="15"/>
    </row>
    <row r="1037" spans="2:27" s="13" customFormat="1">
      <c r="B1037" s="12"/>
      <c r="L1037" s="14"/>
      <c r="M1037" s="14"/>
      <c r="N1037" s="14"/>
      <c r="O1037" s="15"/>
      <c r="P1037" s="15"/>
      <c r="Q1037" s="15"/>
      <c r="R1037" s="15"/>
      <c r="S1037" s="15"/>
      <c r="T1037" s="15"/>
      <c r="U1037" s="15"/>
      <c r="V1037" s="15"/>
      <c r="W1037" s="15"/>
      <c r="X1037" s="15"/>
      <c r="Y1037" s="15"/>
      <c r="Z1037" s="15"/>
      <c r="AA1037" s="15"/>
    </row>
    <row r="1038" spans="2:27" s="13" customFormat="1">
      <c r="B1038" s="12"/>
      <c r="L1038" s="14"/>
      <c r="M1038" s="14"/>
      <c r="N1038" s="14"/>
      <c r="O1038" s="15"/>
      <c r="P1038" s="15"/>
      <c r="Q1038" s="15"/>
      <c r="R1038" s="15"/>
      <c r="S1038" s="15"/>
      <c r="T1038" s="15"/>
      <c r="U1038" s="15"/>
      <c r="V1038" s="15"/>
      <c r="W1038" s="15"/>
      <c r="X1038" s="15"/>
      <c r="Y1038" s="15"/>
      <c r="Z1038" s="15"/>
      <c r="AA1038" s="15"/>
    </row>
    <row r="1039" spans="2:27" s="13" customFormat="1">
      <c r="B1039" s="12"/>
      <c r="L1039" s="14"/>
      <c r="M1039" s="14"/>
      <c r="N1039" s="14"/>
      <c r="O1039" s="15"/>
      <c r="P1039" s="15"/>
      <c r="Q1039" s="15"/>
      <c r="R1039" s="15"/>
      <c r="S1039" s="15"/>
      <c r="T1039" s="15"/>
      <c r="U1039" s="15"/>
      <c r="V1039" s="15"/>
      <c r="W1039" s="15"/>
      <c r="X1039" s="15"/>
      <c r="Y1039" s="15"/>
      <c r="Z1039" s="15"/>
      <c r="AA1039" s="15"/>
    </row>
    <row r="1040" spans="2:27" s="13" customFormat="1">
      <c r="B1040" s="12"/>
      <c r="L1040" s="14"/>
      <c r="M1040" s="14"/>
      <c r="N1040" s="14"/>
      <c r="O1040" s="15"/>
      <c r="P1040" s="15"/>
      <c r="Q1040" s="15"/>
      <c r="R1040" s="15"/>
      <c r="S1040" s="15"/>
      <c r="T1040" s="15"/>
      <c r="U1040" s="15"/>
      <c r="V1040" s="15"/>
      <c r="W1040" s="15"/>
      <c r="X1040" s="15"/>
      <c r="Y1040" s="15"/>
      <c r="Z1040" s="15"/>
      <c r="AA1040" s="15"/>
    </row>
    <row r="1041" spans="2:27" s="13" customFormat="1">
      <c r="B1041" s="12"/>
      <c r="L1041" s="14"/>
      <c r="M1041" s="14"/>
      <c r="N1041" s="14"/>
      <c r="O1041" s="15"/>
      <c r="P1041" s="15"/>
      <c r="Q1041" s="15"/>
      <c r="R1041" s="15"/>
      <c r="S1041" s="15"/>
      <c r="T1041" s="15"/>
      <c r="U1041" s="15"/>
      <c r="V1041" s="15"/>
      <c r="W1041" s="15"/>
      <c r="X1041" s="15"/>
      <c r="Y1041" s="15"/>
      <c r="Z1041" s="15"/>
      <c r="AA1041" s="15"/>
    </row>
    <row r="1042" spans="2:27" s="13" customFormat="1">
      <c r="B1042" s="12"/>
      <c r="L1042" s="14"/>
      <c r="M1042" s="14"/>
      <c r="N1042" s="14"/>
      <c r="O1042" s="15"/>
      <c r="P1042" s="15"/>
      <c r="Q1042" s="15"/>
      <c r="R1042" s="15"/>
      <c r="S1042" s="15"/>
      <c r="T1042" s="15"/>
      <c r="U1042" s="15"/>
      <c r="V1042" s="15"/>
      <c r="W1042" s="15"/>
      <c r="X1042" s="15"/>
      <c r="Y1042" s="15"/>
      <c r="Z1042" s="15"/>
      <c r="AA1042" s="15"/>
    </row>
    <row r="1043" spans="2:27" s="13" customFormat="1">
      <c r="B1043" s="12"/>
      <c r="L1043" s="14"/>
      <c r="M1043" s="14"/>
      <c r="N1043" s="14"/>
      <c r="O1043" s="15"/>
      <c r="P1043" s="15"/>
      <c r="Q1043" s="15"/>
      <c r="R1043" s="15"/>
      <c r="S1043" s="15"/>
      <c r="T1043" s="15"/>
      <c r="U1043" s="15"/>
      <c r="V1043" s="15"/>
      <c r="W1043" s="15"/>
      <c r="X1043" s="15"/>
      <c r="Y1043" s="15"/>
      <c r="Z1043" s="15"/>
      <c r="AA1043" s="15"/>
    </row>
    <row r="1044" spans="2:27" s="13" customFormat="1">
      <c r="B1044" s="12"/>
      <c r="L1044" s="14"/>
      <c r="M1044" s="14"/>
      <c r="N1044" s="14"/>
      <c r="O1044" s="15"/>
      <c r="P1044" s="15"/>
      <c r="Q1044" s="15"/>
      <c r="R1044" s="15"/>
      <c r="S1044" s="15"/>
      <c r="T1044" s="15"/>
      <c r="U1044" s="15"/>
      <c r="V1044" s="15"/>
      <c r="W1044" s="15"/>
      <c r="X1044" s="15"/>
      <c r="Y1044" s="15"/>
      <c r="Z1044" s="15"/>
      <c r="AA1044" s="15"/>
    </row>
    <row r="1045" spans="2:27" s="13" customFormat="1">
      <c r="B1045" s="12"/>
      <c r="L1045" s="14"/>
      <c r="M1045" s="14"/>
      <c r="N1045" s="14"/>
      <c r="O1045" s="15"/>
      <c r="P1045" s="15"/>
      <c r="Q1045" s="15"/>
      <c r="R1045" s="15"/>
      <c r="S1045" s="15"/>
      <c r="T1045" s="15"/>
      <c r="U1045" s="15"/>
      <c r="V1045" s="15"/>
      <c r="W1045" s="15"/>
      <c r="X1045" s="15"/>
      <c r="Y1045" s="15"/>
      <c r="Z1045" s="15"/>
      <c r="AA1045" s="15"/>
    </row>
    <row r="1046" spans="2:27" s="13" customFormat="1">
      <c r="B1046" s="12"/>
      <c r="L1046" s="14"/>
      <c r="M1046" s="14"/>
      <c r="N1046" s="14"/>
      <c r="O1046" s="15"/>
      <c r="P1046" s="15"/>
      <c r="Q1046" s="15"/>
      <c r="R1046" s="15"/>
      <c r="S1046" s="15"/>
      <c r="T1046" s="15"/>
      <c r="U1046" s="15"/>
      <c r="V1046" s="15"/>
      <c r="W1046" s="15"/>
      <c r="X1046" s="15"/>
      <c r="Y1046" s="15"/>
      <c r="Z1046" s="15"/>
      <c r="AA1046" s="15"/>
    </row>
    <row r="1047" spans="2:27" s="13" customFormat="1">
      <c r="B1047" s="12"/>
      <c r="L1047" s="14"/>
      <c r="M1047" s="14"/>
      <c r="N1047" s="14"/>
      <c r="O1047" s="15"/>
      <c r="P1047" s="15"/>
      <c r="Q1047" s="15"/>
      <c r="R1047" s="15"/>
      <c r="S1047" s="15"/>
      <c r="T1047" s="15"/>
      <c r="U1047" s="15"/>
      <c r="V1047" s="15"/>
      <c r="W1047" s="15"/>
      <c r="X1047" s="15"/>
      <c r="Y1047" s="15"/>
      <c r="Z1047" s="15"/>
      <c r="AA1047" s="15"/>
    </row>
    <row r="1048" spans="2:27" s="13" customFormat="1">
      <c r="B1048" s="12"/>
      <c r="L1048" s="14"/>
      <c r="M1048" s="14"/>
      <c r="N1048" s="14"/>
      <c r="O1048" s="15"/>
      <c r="P1048" s="15"/>
      <c r="Q1048" s="15"/>
      <c r="R1048" s="15"/>
      <c r="S1048" s="15"/>
      <c r="T1048" s="15"/>
      <c r="U1048" s="15"/>
      <c r="V1048" s="15"/>
      <c r="W1048" s="15"/>
      <c r="X1048" s="15"/>
      <c r="Y1048" s="15"/>
      <c r="Z1048" s="15"/>
      <c r="AA1048" s="15"/>
    </row>
    <row r="1049" spans="2:27" s="13" customFormat="1">
      <c r="B1049" s="12"/>
      <c r="L1049" s="14"/>
      <c r="M1049" s="14"/>
      <c r="N1049" s="14"/>
      <c r="O1049" s="15"/>
      <c r="P1049" s="15"/>
      <c r="Q1049" s="15"/>
      <c r="R1049" s="15"/>
      <c r="S1049" s="15"/>
      <c r="T1049" s="15"/>
      <c r="U1049" s="15"/>
      <c r="V1049" s="15"/>
      <c r="W1049" s="15"/>
      <c r="X1049" s="15"/>
      <c r="Y1049" s="15"/>
      <c r="Z1049" s="15"/>
      <c r="AA1049" s="15"/>
    </row>
    <row r="1050" spans="2:27" s="13" customFormat="1">
      <c r="B1050" s="12"/>
      <c r="L1050" s="14"/>
      <c r="M1050" s="14"/>
      <c r="N1050" s="14"/>
      <c r="O1050" s="15"/>
      <c r="P1050" s="15"/>
      <c r="Q1050" s="15"/>
      <c r="R1050" s="15"/>
      <c r="S1050" s="15"/>
      <c r="T1050" s="15"/>
      <c r="U1050" s="15"/>
      <c r="V1050" s="15"/>
      <c r="W1050" s="15"/>
      <c r="X1050" s="15"/>
      <c r="Y1050" s="15"/>
      <c r="Z1050" s="15"/>
      <c r="AA1050" s="15"/>
    </row>
    <row r="1051" spans="2:27" s="13" customFormat="1">
      <c r="B1051" s="12"/>
      <c r="L1051" s="14"/>
      <c r="M1051" s="14"/>
      <c r="N1051" s="14"/>
      <c r="O1051" s="15"/>
      <c r="P1051" s="15"/>
      <c r="Q1051" s="15"/>
      <c r="R1051" s="15"/>
      <c r="S1051" s="15"/>
      <c r="T1051" s="15"/>
      <c r="U1051" s="15"/>
      <c r="V1051" s="15"/>
      <c r="W1051" s="15"/>
      <c r="X1051" s="15"/>
      <c r="Y1051" s="15"/>
      <c r="Z1051" s="15"/>
      <c r="AA1051" s="15"/>
    </row>
    <row r="1052" spans="2:27" s="13" customFormat="1">
      <c r="B1052" s="12"/>
      <c r="L1052" s="14"/>
      <c r="M1052" s="14"/>
      <c r="N1052" s="14"/>
      <c r="O1052" s="15"/>
      <c r="P1052" s="15"/>
      <c r="Q1052" s="15"/>
      <c r="R1052" s="15"/>
      <c r="S1052" s="15"/>
      <c r="T1052" s="15"/>
      <c r="U1052" s="15"/>
      <c r="V1052" s="15"/>
      <c r="W1052" s="15"/>
      <c r="X1052" s="15"/>
      <c r="Y1052" s="15"/>
      <c r="Z1052" s="15"/>
      <c r="AA1052" s="15"/>
    </row>
    <row r="1053" spans="2:27" s="13" customFormat="1">
      <c r="B1053" s="12"/>
      <c r="L1053" s="14"/>
      <c r="M1053" s="14"/>
      <c r="N1053" s="14"/>
      <c r="O1053" s="15"/>
      <c r="P1053" s="15"/>
      <c r="Q1053" s="15"/>
      <c r="R1053" s="15"/>
      <c r="S1053" s="15"/>
      <c r="T1053" s="15"/>
      <c r="U1053" s="15"/>
      <c r="V1053" s="15"/>
      <c r="W1053" s="15"/>
      <c r="X1053" s="15"/>
      <c r="Y1053" s="15"/>
      <c r="Z1053" s="15"/>
      <c r="AA1053" s="15"/>
    </row>
  </sheetData>
  <customSheetViews>
    <customSheetView guid="{750F99BE-5C19-4848-A09A-0E4FD0F9F8FC}" scale="55" fitToPage="1" hiddenRows="1" hiddenColumns="1" topLeftCell="B1">
      <pane ySplit="2" topLeftCell="A106" activePane="bottomLeft" state="frozen"/>
      <selection pane="bottomLeft" activeCell="I1" sqref="I1:L1"/>
      <pageMargins left="0.25" right="0.25" top="0.75" bottom="0.75" header="0.3" footer="0.3"/>
      <pageSetup paperSize="9" scale="20" fitToHeight="0" orientation="portrait" r:id="rId1"/>
    </customSheetView>
    <customSheetView guid="{DEF9C65D-F8A0-4631-A6BF-69DD462E745F}" scale="55" fitToPage="1" hiddenRows="1" hiddenColumns="1">
      <pane ySplit="2" topLeftCell="A151" activePane="bottomLeft" state="frozen"/>
      <selection pane="bottomLeft" activeCell="I177" sqref="I177"/>
      <pageMargins left="0.25" right="0.25" top="0.75" bottom="0.75" header="0.3" footer="0.3"/>
      <pageSetup paperSize="9" scale="20" fitToHeight="0" orientation="portrait" r:id="rId2"/>
    </customSheetView>
    <customSheetView guid="{F53706EC-596C-4347-9C22-A701412B0A41}" scale="55" fitToPage="1" hiddenRows="1" hiddenColumns="1">
      <pane ySplit="2" topLeftCell="A151" activePane="bottomLeft" state="frozen"/>
      <selection pane="bottomLeft" activeCell="I177" sqref="I177"/>
      <pageMargins left="0.25" right="0.25" top="0.75" bottom="0.75" header="0.3" footer="0.3"/>
      <pageSetup paperSize="9" scale="20" fitToHeight="0" orientation="portrait" r:id="rId3"/>
    </customSheetView>
    <customSheetView guid="{93AFD236-396B-4FF3-AB41-05714D8754DB}" scale="55" fitToPage="1" hiddenRows="1" hiddenColumns="1" topLeftCell="B1">
      <pane ySplit="2" topLeftCell="A106" activePane="bottomLeft" state="frozen"/>
      <selection pane="bottomLeft" activeCell="AK145" sqref="AK145"/>
      <pageMargins left="0.25" right="0.25" top="0.75" bottom="0.75" header="0.3" footer="0.3"/>
      <pageSetup paperSize="9" scale="20" fitToHeight="0" orientation="portrait" r:id="rId4"/>
    </customSheetView>
  </customSheetViews>
  <mergeCells count="60">
    <mergeCell ref="AA1:AA2"/>
    <mergeCell ref="R1:R2"/>
    <mergeCell ref="AG1:AG2"/>
    <mergeCell ref="AB1:AB2"/>
    <mergeCell ref="AC1:AC2"/>
    <mergeCell ref="AD1:AD2"/>
    <mergeCell ref="AE1:AE2"/>
    <mergeCell ref="AF1:AF2"/>
    <mergeCell ref="W1:W2"/>
    <mergeCell ref="V1:V2"/>
    <mergeCell ref="U1:U2"/>
    <mergeCell ref="T1:T2"/>
    <mergeCell ref="F140:F142"/>
    <mergeCell ref="G140:G142"/>
    <mergeCell ref="B1:B2"/>
    <mergeCell ref="C1:C2"/>
    <mergeCell ref="D1:D2"/>
    <mergeCell ref="E1:E2"/>
    <mergeCell ref="F1:F2"/>
    <mergeCell ref="G1:G2"/>
    <mergeCell ref="B140:B142"/>
    <mergeCell ref="C140:C142"/>
    <mergeCell ref="H161:AC161"/>
    <mergeCell ref="I105:I106"/>
    <mergeCell ref="I108:I110"/>
    <mergeCell ref="I128:I130"/>
    <mergeCell ref="I132:I135"/>
    <mergeCell ref="I137:I139"/>
    <mergeCell ref="I34:I36"/>
    <mergeCell ref="I37:I41"/>
    <mergeCell ref="Y1:Y2"/>
    <mergeCell ref="Z1:Z2"/>
    <mergeCell ref="I5:I6"/>
    <mergeCell ref="I13:I15"/>
    <mergeCell ref="I27:I28"/>
    <mergeCell ref="S1:S2"/>
    <mergeCell ref="I77:I79"/>
    <mergeCell ref="I81:I82"/>
    <mergeCell ref="I102:I103"/>
    <mergeCell ref="I43:I47"/>
    <mergeCell ref="I48:I50"/>
    <mergeCell ref="I52:I56"/>
    <mergeCell ref="I59:I60"/>
    <mergeCell ref="I74:I75"/>
    <mergeCell ref="AK1:AK2"/>
    <mergeCell ref="AL1:AL2"/>
    <mergeCell ref="AM1:AM2"/>
    <mergeCell ref="AN1:AN2"/>
    <mergeCell ref="A1:A2"/>
    <mergeCell ref="AJ1:AJ2"/>
    <mergeCell ref="AH1:AH2"/>
    <mergeCell ref="AI1:AI2"/>
    <mergeCell ref="H1:H2"/>
    <mergeCell ref="J1:M1"/>
    <mergeCell ref="I1:I2"/>
    <mergeCell ref="Q1:Q2"/>
    <mergeCell ref="P1:P2"/>
    <mergeCell ref="O1:O2"/>
    <mergeCell ref="N1:N2"/>
    <mergeCell ref="X1:X2"/>
  </mergeCells>
  <hyperlinks>
    <hyperlink ref="B102" r:id="rId5" display="http://docs.cntd.ru/document/1200100953" xr:uid="{00000000-0004-0000-0200-000000000000}"/>
    <hyperlink ref="B103" r:id="rId6" display="http://docs.cntd.ru/document/1200100953" xr:uid="{00000000-0004-0000-0200-000001000000}"/>
    <hyperlink ref="B104" r:id="rId7" display="http://docs.cntd.ru/document/1200100953" xr:uid="{00000000-0004-0000-0200-000002000000}"/>
    <hyperlink ref="B112" r:id="rId8" display="https://elektrofarfor.com/p109103740-kryuk-dlya-izolyatorov.html" xr:uid="{00000000-0004-0000-0200-000003000000}"/>
    <hyperlink ref="B119" r:id="rId9" display="https://аир.com.ua/katalog_elektrodvigatelei_air/air-132s4-7-5-kvt-1500-ob-min/" xr:uid="{00000000-0004-0000-0200-000004000000}"/>
    <hyperlink ref="B121" r:id="rId10" display="https://аир.com.ua/katalog_elektrodvigatelei_air/air-112m2-7-5-kvt-3000-ob-min/" xr:uid="{00000000-0004-0000-0200-000005000000}"/>
    <hyperlink ref="B29" r:id="rId11" display="https://homius.ru/shema-podklyucheniya-dvuhklavishnogo-vyiklyuchatelya.html" xr:uid="{00000000-0004-0000-0200-000006000000}"/>
    <hyperlink ref="B42" r:id="rId12" tooltip="Электрическая цепь" display="https://ru.wikipedia.org/wiki/%D0%AD%D0%BB%D0%B5%D0%BA%D1%82%D1%80%D0%B8%D1%87%D0%B5%D1%81%D0%BA%D0%B0%D1%8F_%D1%86%D0%B5%D0%BF%D1%8C" xr:uid="{00000000-0004-0000-0200-000007000000}"/>
    <hyperlink ref="B120" r:id="rId13" display=" АИР112М2 – трехфазный асинхронный электродвигатель 7,5 кВт 3000 об/мин общепромышленного назначения с короткозамкнутым ротором. Мощность 7,5 кВт Частота вращения поля статора 3000 об/мин Скорость вращения вала 2895 оборотов Тип Асинхронный Напряжение питания Трехфазное, 220/380, 380/660 вольт Монтажное исполнение -комбинированное;" xr:uid="{00000000-0004-0000-0200-000008000000}"/>
    <hyperlink ref="F102" r:id="rId14" display="http://docs.cntd.ru/document/1200100953" xr:uid="{00000000-0004-0000-0200-000009000000}"/>
    <hyperlink ref="F103" r:id="rId15" display="http://docs.cntd.ru/document/1200100953" xr:uid="{00000000-0004-0000-0200-00000A000000}"/>
    <hyperlink ref="F104" r:id="rId16" display="http://docs.cntd.ru/document/1200100953" xr:uid="{00000000-0004-0000-0200-00000B000000}"/>
    <hyperlink ref="F112" r:id="rId17" display="https://elektrofarfor.com/p109103740-kryuk-dlya-izolyatorov.html" xr:uid="{00000000-0004-0000-0200-00000C000000}"/>
    <hyperlink ref="F119" r:id="rId18" display="https://аир.com.ua/katalog_elektrodvigatelei_air/air-132s4-7-5-kvt-1500-ob-min/" xr:uid="{00000000-0004-0000-0200-00000D000000}"/>
    <hyperlink ref="F121" r:id="rId19" display="https://аир.com.ua/katalog_elektrodvigatelei_air/air-112m2-7-5-kvt-3000-ob-min/" xr:uid="{00000000-0004-0000-0200-00000E000000}"/>
    <hyperlink ref="F29" r:id="rId20" display="https://homius.ru/shema-podklyucheniya-dvuhklavishnogo-vyiklyuchatelya.html" xr:uid="{00000000-0004-0000-0200-00000F000000}"/>
    <hyperlink ref="F42" r:id="rId21" tooltip="Электрическая цепь" display="https://ru.wikipedia.org/wiki/%D0%AD%D0%BB%D0%B5%D0%BA%D1%82%D1%80%D0%B8%D1%87%D0%B5%D1%81%D0%BA%D0%B0%D1%8F_%D1%86%D0%B5%D0%BF%D1%8C" xr:uid="{00000000-0004-0000-0200-000010000000}"/>
    <hyperlink ref="F120" r:id="rId22" display=" АИР112М2 – трехфазный асинхронный электродвигатель 7,5 кВт 3000 об/мин общепромышленного назначения с короткозамкнутым ротором. Мощность 7,5 кВт Частота вращения поля статора 3000 об/мин Скорость вращения вала 2895 оборотов Тип Асинхронный Напряжение питания Трехфазное, 220/380, 380/660 вольт Монтажное исполнение -комбинированное;" xr:uid="{00000000-0004-0000-0200-000011000000}"/>
  </hyperlinks>
  <pageMargins left="0.25" right="0.25" top="0.75" bottom="0.75" header="0.3" footer="0.3"/>
  <pageSetup paperSize="9" scale="20" fitToHeight="0" orientation="portrait"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U207"/>
  <sheetViews>
    <sheetView topLeftCell="A188" zoomScale="85" zoomScaleNormal="85" workbookViewId="0">
      <selection activeCell="B208" sqref="B208"/>
    </sheetView>
  </sheetViews>
  <sheetFormatPr defaultColWidth="18.28515625" defaultRowHeight="15.75"/>
  <cols>
    <col min="1" max="1" width="4.42578125" style="6" bestFit="1" customWidth="1"/>
    <col min="2" max="2" width="18" style="6" bestFit="1" customWidth="1"/>
    <col min="3" max="3" width="27.7109375" style="6" bestFit="1" customWidth="1"/>
    <col min="4" max="4" width="10.5703125" style="6" customWidth="1"/>
    <col min="5" max="5" width="16.85546875" style="6" customWidth="1"/>
    <col min="6" max="6" width="15.140625" style="6" hidden="1" customWidth="1"/>
    <col min="7" max="7" width="6.28515625" style="6" hidden="1" customWidth="1"/>
    <col min="8" max="8" width="7" style="6" hidden="1" customWidth="1"/>
    <col min="9" max="10" width="7" style="6" customWidth="1"/>
    <col min="11" max="11" width="18.28515625" style="6" hidden="1" customWidth="1"/>
    <col min="12" max="12" width="23.140625" style="6" hidden="1" customWidth="1"/>
    <col min="13" max="16" width="22" style="6" hidden="1" customWidth="1"/>
    <col min="17" max="17" width="36.5703125" style="6" hidden="1" customWidth="1"/>
    <col min="18" max="21" width="0" style="6" hidden="1" customWidth="1"/>
    <col min="22" max="16384" width="18.28515625" style="6"/>
  </cols>
  <sheetData>
    <row r="1" spans="1:21" ht="18.75" customHeight="1">
      <c r="A1" s="1091" t="s">
        <v>595</v>
      </c>
      <c r="B1" s="1137" t="s">
        <v>272</v>
      </c>
      <c r="C1" s="1137" t="s">
        <v>273</v>
      </c>
      <c r="D1" s="1139" t="s">
        <v>274</v>
      </c>
      <c r="E1" s="1137" t="s">
        <v>1</v>
      </c>
      <c r="F1" s="1141" t="s">
        <v>275</v>
      </c>
      <c r="G1" s="1134" t="s">
        <v>2</v>
      </c>
      <c r="H1" s="1135"/>
      <c r="I1" s="1135"/>
      <c r="J1" s="1136"/>
      <c r="K1" s="1127" t="s">
        <v>2881</v>
      </c>
      <c r="L1" s="1127" t="s">
        <v>2882</v>
      </c>
      <c r="M1" s="1127" t="s">
        <v>2883</v>
      </c>
      <c r="N1" s="1127" t="s">
        <v>2884</v>
      </c>
      <c r="O1" s="1127" t="s">
        <v>2885</v>
      </c>
      <c r="P1" s="1127" t="s">
        <v>2886</v>
      </c>
      <c r="Q1" s="1125" t="s">
        <v>4230</v>
      </c>
      <c r="R1" s="1119" t="s">
        <v>4700</v>
      </c>
      <c r="S1" s="1119" t="s">
        <v>4701</v>
      </c>
      <c r="T1" s="1119" t="s">
        <v>4702</v>
      </c>
      <c r="U1" s="1119" t="s">
        <v>2882</v>
      </c>
    </row>
    <row r="2" spans="1:21" ht="42.75">
      <c r="A2" s="1092"/>
      <c r="B2" s="1138"/>
      <c r="C2" s="1138"/>
      <c r="D2" s="1140"/>
      <c r="E2" s="1138"/>
      <c r="F2" s="1142"/>
      <c r="G2" s="835" t="s">
        <v>3</v>
      </c>
      <c r="H2" s="835" t="s">
        <v>4</v>
      </c>
      <c r="I2" s="835" t="s">
        <v>5</v>
      </c>
      <c r="J2" s="835" t="s">
        <v>6</v>
      </c>
      <c r="K2" s="1128"/>
      <c r="L2" s="1128"/>
      <c r="M2" s="1128"/>
      <c r="N2" s="1128"/>
      <c r="O2" s="1128"/>
      <c r="P2" s="1128"/>
      <c r="Q2" s="1126"/>
      <c r="R2" s="1119"/>
      <c r="S2" s="1119"/>
      <c r="T2" s="1119"/>
      <c r="U2" s="1119"/>
    </row>
    <row r="3" spans="1:21" ht="18.75" customHeight="1">
      <c r="A3" s="1146" t="s">
        <v>1903</v>
      </c>
      <c r="B3" s="1147"/>
      <c r="C3" s="1147"/>
      <c r="D3" s="1147"/>
      <c r="E3" s="1147"/>
      <c r="F3" s="1147"/>
      <c r="G3" s="1147"/>
      <c r="H3" s="1147"/>
      <c r="I3" s="1147"/>
      <c r="J3" s="1147"/>
      <c r="K3" s="1147"/>
      <c r="L3" s="1147"/>
      <c r="M3" s="1147"/>
      <c r="N3" s="1147"/>
      <c r="O3" s="1147"/>
      <c r="P3" s="1147"/>
      <c r="R3" s="400"/>
      <c r="S3" s="400"/>
      <c r="T3" s="902"/>
      <c r="U3" s="189"/>
    </row>
    <row r="4" spans="1:21">
      <c r="A4" s="836">
        <v>1</v>
      </c>
      <c r="B4" s="836" t="s">
        <v>560</v>
      </c>
      <c r="C4" s="836" t="s">
        <v>561</v>
      </c>
      <c r="D4" s="837">
        <f>SUM(G4:J4)</f>
        <v>90</v>
      </c>
      <c r="E4" s="836" t="s">
        <v>286</v>
      </c>
      <c r="F4" s="836"/>
      <c r="G4" s="837">
        <v>18</v>
      </c>
      <c r="H4" s="838">
        <v>20</v>
      </c>
      <c r="I4" s="838">
        <v>24</v>
      </c>
      <c r="J4" s="839">
        <v>28</v>
      </c>
      <c r="K4" s="382">
        <v>1881462</v>
      </c>
      <c r="L4" s="222">
        <f>K4*D4</f>
        <v>169331580</v>
      </c>
      <c r="M4" s="222">
        <f>K4*G4</f>
        <v>33866316</v>
      </c>
      <c r="N4" s="222">
        <f>K4*H4</f>
        <v>37629240</v>
      </c>
      <c r="O4" s="222">
        <f>K4*I4</f>
        <v>45155088</v>
      </c>
      <c r="P4" s="222">
        <f>K4*J4</f>
        <v>52680936</v>
      </c>
      <c r="Q4" s="840" t="s">
        <v>4236</v>
      </c>
      <c r="R4" s="400"/>
      <c r="S4" s="400"/>
      <c r="T4" s="902">
        <f>D4-S4</f>
        <v>90</v>
      </c>
      <c r="U4" s="189"/>
    </row>
    <row r="5" spans="1:21">
      <c r="A5" s="836">
        <v>2</v>
      </c>
      <c r="B5" s="836" t="s">
        <v>560</v>
      </c>
      <c r="C5" s="836" t="s">
        <v>1885</v>
      </c>
      <c r="D5" s="837">
        <f t="shared" ref="D5:D53" si="0">SUM(G5:J5)</f>
        <v>6</v>
      </c>
      <c r="E5" s="836" t="s">
        <v>286</v>
      </c>
      <c r="F5" s="836"/>
      <c r="G5" s="841"/>
      <c r="H5" s="842"/>
      <c r="I5" s="842">
        <v>0</v>
      </c>
      <c r="J5" s="843">
        <v>6</v>
      </c>
      <c r="K5" s="382">
        <v>1354277</v>
      </c>
      <c r="L5" s="222">
        <f t="shared" ref="L5:L53" si="1">K5*D5</f>
        <v>8125662</v>
      </c>
      <c r="M5" s="222">
        <f t="shared" ref="M5:M53" si="2">K5*G5</f>
        <v>0</v>
      </c>
      <c r="N5" s="222">
        <f t="shared" ref="N5:N53" si="3">K5*H5</f>
        <v>0</v>
      </c>
      <c r="O5" s="222">
        <f t="shared" ref="O5:O53" si="4">K5*I5</f>
        <v>0</v>
      </c>
      <c r="P5" s="222">
        <f t="shared" ref="P5:P53" si="5">K5*J5</f>
        <v>8125662</v>
      </c>
      <c r="Q5" s="840" t="s">
        <v>4236</v>
      </c>
      <c r="R5" s="400"/>
      <c r="S5" s="400"/>
      <c r="T5" s="902">
        <f t="shared" ref="T5:T68" si="6">D5-S5</f>
        <v>6</v>
      </c>
      <c r="U5" s="189"/>
    </row>
    <row r="6" spans="1:21">
      <c r="A6" s="836">
        <v>3</v>
      </c>
      <c r="B6" s="836" t="s">
        <v>560</v>
      </c>
      <c r="C6" s="836" t="s">
        <v>562</v>
      </c>
      <c r="D6" s="837">
        <f t="shared" si="0"/>
        <v>36</v>
      </c>
      <c r="E6" s="836" t="s">
        <v>286</v>
      </c>
      <c r="F6" s="836"/>
      <c r="G6" s="841"/>
      <c r="H6" s="842">
        <v>2</v>
      </c>
      <c r="I6" s="842">
        <v>30</v>
      </c>
      <c r="J6" s="843">
        <v>4</v>
      </c>
      <c r="K6" s="382">
        <v>1489705</v>
      </c>
      <c r="L6" s="222">
        <f t="shared" si="1"/>
        <v>53629380</v>
      </c>
      <c r="M6" s="222">
        <f t="shared" si="2"/>
        <v>0</v>
      </c>
      <c r="N6" s="222">
        <f t="shared" si="3"/>
        <v>2979410</v>
      </c>
      <c r="O6" s="222">
        <f t="shared" si="4"/>
        <v>44691150</v>
      </c>
      <c r="P6" s="222">
        <f t="shared" si="5"/>
        <v>5958820</v>
      </c>
      <c r="Q6" s="840" t="s">
        <v>4236</v>
      </c>
      <c r="R6" s="400"/>
      <c r="S6" s="400"/>
      <c r="T6" s="902">
        <f t="shared" si="6"/>
        <v>36</v>
      </c>
      <c r="U6" s="189"/>
    </row>
    <row r="7" spans="1:21">
      <c r="A7" s="836">
        <v>4</v>
      </c>
      <c r="B7" s="836" t="s">
        <v>560</v>
      </c>
      <c r="C7" s="836" t="s">
        <v>594</v>
      </c>
      <c r="D7" s="837">
        <f t="shared" si="0"/>
        <v>4</v>
      </c>
      <c r="E7" s="836" t="s">
        <v>286</v>
      </c>
      <c r="F7" s="836"/>
      <c r="G7" s="844">
        <v>2</v>
      </c>
      <c r="H7" s="845"/>
      <c r="I7" s="845">
        <v>2</v>
      </c>
      <c r="J7" s="846"/>
      <c r="K7" s="382">
        <v>4177141</v>
      </c>
      <c r="L7" s="222">
        <f t="shared" si="1"/>
        <v>16708564</v>
      </c>
      <c r="M7" s="222">
        <f t="shared" si="2"/>
        <v>8354282</v>
      </c>
      <c r="N7" s="222">
        <f t="shared" si="3"/>
        <v>0</v>
      </c>
      <c r="O7" s="222">
        <f t="shared" si="4"/>
        <v>8354282</v>
      </c>
      <c r="P7" s="222">
        <f t="shared" si="5"/>
        <v>0</v>
      </c>
      <c r="Q7" s="840" t="s">
        <v>4236</v>
      </c>
      <c r="R7" s="400"/>
      <c r="S7" s="400"/>
      <c r="T7" s="902">
        <f t="shared" si="6"/>
        <v>4</v>
      </c>
      <c r="U7" s="189"/>
    </row>
    <row r="8" spans="1:21">
      <c r="A8" s="836">
        <v>5</v>
      </c>
      <c r="B8" s="836" t="s">
        <v>560</v>
      </c>
      <c r="C8" s="847">
        <v>45456</v>
      </c>
      <c r="D8" s="837">
        <f t="shared" si="0"/>
        <v>2</v>
      </c>
      <c r="E8" s="836" t="s">
        <v>286</v>
      </c>
      <c r="F8" s="836"/>
      <c r="G8" s="844">
        <v>2</v>
      </c>
      <c r="H8" s="845"/>
      <c r="I8" s="845"/>
      <c r="J8" s="846"/>
      <c r="K8" s="382">
        <v>4036500</v>
      </c>
      <c r="L8" s="222">
        <f t="shared" si="1"/>
        <v>8073000</v>
      </c>
      <c r="M8" s="222">
        <f t="shared" si="2"/>
        <v>8073000</v>
      </c>
      <c r="N8" s="222">
        <f t="shared" si="3"/>
        <v>0</v>
      </c>
      <c r="O8" s="222">
        <f t="shared" si="4"/>
        <v>0</v>
      </c>
      <c r="P8" s="222">
        <f t="shared" si="5"/>
        <v>0</v>
      </c>
      <c r="Q8" s="840" t="s">
        <v>4236</v>
      </c>
      <c r="R8" s="400"/>
      <c r="S8" s="400"/>
      <c r="T8" s="902">
        <f t="shared" si="6"/>
        <v>2</v>
      </c>
      <c r="U8" s="189"/>
    </row>
    <row r="9" spans="1:21">
      <c r="A9" s="836">
        <v>6</v>
      </c>
      <c r="B9" s="836" t="s">
        <v>560</v>
      </c>
      <c r="C9" s="836" t="s">
        <v>564</v>
      </c>
      <c r="D9" s="837">
        <f t="shared" si="0"/>
        <v>10</v>
      </c>
      <c r="E9" s="836" t="s">
        <v>286</v>
      </c>
      <c r="F9" s="836"/>
      <c r="G9" s="844">
        <v>10</v>
      </c>
      <c r="H9" s="845"/>
      <c r="I9" s="845"/>
      <c r="J9" s="846"/>
      <c r="K9" s="382">
        <v>4948837</v>
      </c>
      <c r="L9" s="222">
        <f t="shared" si="1"/>
        <v>49488370</v>
      </c>
      <c r="M9" s="222">
        <f t="shared" si="2"/>
        <v>49488370</v>
      </c>
      <c r="N9" s="222">
        <f t="shared" si="3"/>
        <v>0</v>
      </c>
      <c r="O9" s="222">
        <f t="shared" si="4"/>
        <v>0</v>
      </c>
      <c r="P9" s="222">
        <f t="shared" si="5"/>
        <v>0</v>
      </c>
      <c r="Q9" s="840" t="s">
        <v>4236</v>
      </c>
      <c r="R9" s="400"/>
      <c r="S9" s="400"/>
      <c r="T9" s="902">
        <f t="shared" si="6"/>
        <v>10</v>
      </c>
      <c r="U9" s="189"/>
    </row>
    <row r="10" spans="1:21" ht="63">
      <c r="A10" s="836">
        <v>7</v>
      </c>
      <c r="B10" s="836" t="s">
        <v>560</v>
      </c>
      <c r="C10" s="836" t="s">
        <v>565</v>
      </c>
      <c r="D10" s="837">
        <f t="shared" si="0"/>
        <v>92</v>
      </c>
      <c r="E10" s="836" t="s">
        <v>286</v>
      </c>
      <c r="F10" s="836"/>
      <c r="G10" s="844">
        <v>20</v>
      </c>
      <c r="H10" s="845">
        <v>24</v>
      </c>
      <c r="I10" s="845">
        <v>20</v>
      </c>
      <c r="J10" s="846">
        <v>28</v>
      </c>
      <c r="K10" s="382">
        <v>356500</v>
      </c>
      <c r="L10" s="222">
        <f t="shared" si="1"/>
        <v>32798000</v>
      </c>
      <c r="M10" s="222">
        <f t="shared" si="2"/>
        <v>7130000</v>
      </c>
      <c r="N10" s="222">
        <f t="shared" si="3"/>
        <v>8556000</v>
      </c>
      <c r="O10" s="222">
        <f t="shared" si="4"/>
        <v>7130000</v>
      </c>
      <c r="P10" s="222">
        <f t="shared" si="5"/>
        <v>9982000</v>
      </c>
      <c r="Q10" s="978" t="s">
        <v>4769</v>
      </c>
      <c r="R10" s="453" t="s">
        <v>4766</v>
      </c>
      <c r="S10" s="452">
        <f>20+24</f>
        <v>44</v>
      </c>
      <c r="T10" s="902">
        <f t="shared" si="6"/>
        <v>48</v>
      </c>
      <c r="U10" s="189">
        <f>6510000+7750801.92</f>
        <v>14260801.92</v>
      </c>
    </row>
    <row r="11" spans="1:21" ht="63">
      <c r="A11" s="836">
        <v>8</v>
      </c>
      <c r="B11" s="836" t="s">
        <v>560</v>
      </c>
      <c r="C11" s="836" t="s">
        <v>566</v>
      </c>
      <c r="D11" s="837">
        <f t="shared" si="0"/>
        <v>28</v>
      </c>
      <c r="E11" s="836" t="s">
        <v>286</v>
      </c>
      <c r="F11" s="836"/>
      <c r="G11" s="844">
        <v>8</v>
      </c>
      <c r="H11" s="845">
        <v>4</v>
      </c>
      <c r="I11" s="845">
        <v>8</v>
      </c>
      <c r="J11" s="846">
        <v>8</v>
      </c>
      <c r="K11" s="382">
        <v>356500</v>
      </c>
      <c r="L11" s="222">
        <f t="shared" si="1"/>
        <v>9982000</v>
      </c>
      <c r="M11" s="222">
        <f t="shared" si="2"/>
        <v>2852000</v>
      </c>
      <c r="N11" s="222">
        <f t="shared" si="3"/>
        <v>1426000</v>
      </c>
      <c r="O11" s="222">
        <f t="shared" si="4"/>
        <v>2852000</v>
      </c>
      <c r="P11" s="222">
        <f t="shared" si="5"/>
        <v>2852000</v>
      </c>
      <c r="Q11" s="825" t="s">
        <v>4227</v>
      </c>
      <c r="R11" s="453" t="s">
        <v>4767</v>
      </c>
      <c r="S11" s="452">
        <f>8+12</f>
        <v>20</v>
      </c>
      <c r="T11" s="902">
        <f t="shared" si="6"/>
        <v>8</v>
      </c>
      <c r="U11" s="189">
        <f>2604000+4479600</f>
        <v>7083600</v>
      </c>
    </row>
    <row r="12" spans="1:21" ht="31.5">
      <c r="A12" s="836">
        <v>9</v>
      </c>
      <c r="B12" s="836" t="s">
        <v>560</v>
      </c>
      <c r="C12" s="836" t="s">
        <v>567</v>
      </c>
      <c r="D12" s="837">
        <f t="shared" si="0"/>
        <v>28</v>
      </c>
      <c r="E12" s="836" t="s">
        <v>286</v>
      </c>
      <c r="F12" s="836"/>
      <c r="G12" s="844">
        <v>0</v>
      </c>
      <c r="H12" s="845">
        <v>8</v>
      </c>
      <c r="I12" s="845">
        <v>12</v>
      </c>
      <c r="J12" s="846">
        <v>8</v>
      </c>
      <c r="K12" s="382">
        <v>404800</v>
      </c>
      <c r="L12" s="222">
        <f t="shared" si="1"/>
        <v>11334400</v>
      </c>
      <c r="M12" s="222">
        <f t="shared" si="2"/>
        <v>0</v>
      </c>
      <c r="N12" s="222">
        <f t="shared" si="3"/>
        <v>3238400</v>
      </c>
      <c r="O12" s="222">
        <f t="shared" si="4"/>
        <v>4857600</v>
      </c>
      <c r="P12" s="222">
        <f t="shared" si="5"/>
        <v>3238400</v>
      </c>
      <c r="Q12" s="976" t="s">
        <v>4236</v>
      </c>
      <c r="R12" s="453" t="s">
        <v>4768</v>
      </c>
      <c r="S12" s="452">
        <v>8</v>
      </c>
      <c r="T12" s="902">
        <f t="shared" si="6"/>
        <v>20</v>
      </c>
      <c r="U12" s="189">
        <v>3002533.76</v>
      </c>
    </row>
    <row r="13" spans="1:21">
      <c r="A13" s="836">
        <v>10</v>
      </c>
      <c r="B13" s="836" t="s">
        <v>560</v>
      </c>
      <c r="C13" s="836" t="s">
        <v>568</v>
      </c>
      <c r="D13" s="837">
        <f t="shared" si="0"/>
        <v>4</v>
      </c>
      <c r="E13" s="836" t="s">
        <v>286</v>
      </c>
      <c r="F13" s="836"/>
      <c r="G13" s="844"/>
      <c r="H13" s="845"/>
      <c r="I13" s="845"/>
      <c r="J13" s="846">
        <v>4</v>
      </c>
      <c r="K13" s="382">
        <v>412850</v>
      </c>
      <c r="L13" s="222">
        <f t="shared" si="1"/>
        <v>1651400</v>
      </c>
      <c r="M13" s="222">
        <f t="shared" si="2"/>
        <v>0</v>
      </c>
      <c r="N13" s="222">
        <f t="shared" si="3"/>
        <v>0</v>
      </c>
      <c r="O13" s="222">
        <f t="shared" si="4"/>
        <v>0</v>
      </c>
      <c r="P13" s="222">
        <f t="shared" si="5"/>
        <v>1651400</v>
      </c>
      <c r="Q13" s="825" t="s">
        <v>4227</v>
      </c>
      <c r="R13" s="400"/>
      <c r="S13" s="400"/>
      <c r="T13" s="902">
        <f t="shared" si="6"/>
        <v>4</v>
      </c>
      <c r="U13" s="189"/>
    </row>
    <row r="14" spans="1:21" ht="63">
      <c r="A14" s="836">
        <v>11</v>
      </c>
      <c r="B14" s="836" t="s">
        <v>560</v>
      </c>
      <c r="C14" s="836" t="s">
        <v>569</v>
      </c>
      <c r="D14" s="837">
        <f t="shared" si="0"/>
        <v>124</v>
      </c>
      <c r="E14" s="836" t="s">
        <v>286</v>
      </c>
      <c r="F14" s="836"/>
      <c r="G14" s="844">
        <v>44</v>
      </c>
      <c r="H14" s="845">
        <v>20</v>
      </c>
      <c r="I14" s="845">
        <v>32</v>
      </c>
      <c r="J14" s="846">
        <v>28</v>
      </c>
      <c r="K14" s="382">
        <v>443900</v>
      </c>
      <c r="L14" s="222">
        <f t="shared" si="1"/>
        <v>55043600</v>
      </c>
      <c r="M14" s="222">
        <f t="shared" si="2"/>
        <v>19531600</v>
      </c>
      <c r="N14" s="222">
        <f t="shared" si="3"/>
        <v>8878000</v>
      </c>
      <c r="O14" s="222">
        <f t="shared" si="4"/>
        <v>14204800</v>
      </c>
      <c r="P14" s="222">
        <f t="shared" si="5"/>
        <v>12429200</v>
      </c>
      <c r="Q14" s="825" t="s">
        <v>4227</v>
      </c>
      <c r="R14" s="453" t="s">
        <v>4762</v>
      </c>
      <c r="S14" s="452">
        <f>44+20</f>
        <v>64</v>
      </c>
      <c r="T14" s="902">
        <f t="shared" si="6"/>
        <v>60</v>
      </c>
      <c r="U14" s="189">
        <f>12742400+9188000</f>
        <v>21930400</v>
      </c>
    </row>
    <row r="15" spans="1:21" ht="31.5">
      <c r="A15" s="836">
        <v>12</v>
      </c>
      <c r="B15" s="836" t="s">
        <v>560</v>
      </c>
      <c r="C15" s="836" t="s">
        <v>570</v>
      </c>
      <c r="D15" s="837">
        <f t="shared" si="0"/>
        <v>4</v>
      </c>
      <c r="E15" s="836" t="s">
        <v>286</v>
      </c>
      <c r="F15" s="836"/>
      <c r="G15" s="844">
        <v>4</v>
      </c>
      <c r="H15" s="845"/>
      <c r="I15" s="845"/>
      <c r="J15" s="846"/>
      <c r="K15" s="382">
        <v>434700</v>
      </c>
      <c r="L15" s="222">
        <f t="shared" si="1"/>
        <v>1738800</v>
      </c>
      <c r="M15" s="222">
        <f t="shared" si="2"/>
        <v>1738800</v>
      </c>
      <c r="N15" s="222">
        <f t="shared" si="3"/>
        <v>0</v>
      </c>
      <c r="O15" s="222">
        <f t="shared" si="4"/>
        <v>0</v>
      </c>
      <c r="P15" s="222">
        <f t="shared" si="5"/>
        <v>0</v>
      </c>
      <c r="Q15" s="905" t="s">
        <v>4227</v>
      </c>
      <c r="R15" s="453" t="s">
        <v>4717</v>
      </c>
      <c r="S15" s="452">
        <v>4</v>
      </c>
      <c r="T15" s="902">
        <f t="shared" si="6"/>
        <v>0</v>
      </c>
      <c r="U15" s="189">
        <v>1587600</v>
      </c>
    </row>
    <row r="16" spans="1:21" ht="31.5">
      <c r="A16" s="836">
        <v>13</v>
      </c>
      <c r="B16" s="836" t="s">
        <v>560</v>
      </c>
      <c r="C16" s="836" t="s">
        <v>571</v>
      </c>
      <c r="D16" s="837">
        <f t="shared" si="0"/>
        <v>4</v>
      </c>
      <c r="E16" s="836" t="s">
        <v>286</v>
      </c>
      <c r="F16" s="836"/>
      <c r="G16" s="844"/>
      <c r="H16" s="845">
        <v>4</v>
      </c>
      <c r="I16" s="845"/>
      <c r="J16" s="846"/>
      <c r="K16" s="382">
        <v>1071616</v>
      </c>
      <c r="L16" s="222">
        <f t="shared" si="1"/>
        <v>4286464</v>
      </c>
      <c r="M16" s="222">
        <f t="shared" si="2"/>
        <v>0</v>
      </c>
      <c r="N16" s="222">
        <f t="shared" si="3"/>
        <v>4286464</v>
      </c>
      <c r="O16" s="222">
        <f t="shared" si="4"/>
        <v>0</v>
      </c>
      <c r="P16" s="222">
        <f t="shared" si="5"/>
        <v>0</v>
      </c>
      <c r="Q16" s="904" t="s">
        <v>4236</v>
      </c>
      <c r="R16" s="453" t="s">
        <v>4768</v>
      </c>
      <c r="S16" s="453">
        <v>4</v>
      </c>
      <c r="T16" s="902">
        <f t="shared" si="6"/>
        <v>0</v>
      </c>
      <c r="U16" s="189">
        <v>1828078.72</v>
      </c>
    </row>
    <row r="17" spans="1:21" ht="31.5">
      <c r="A17" s="836">
        <v>14</v>
      </c>
      <c r="B17" s="836" t="s">
        <v>560</v>
      </c>
      <c r="C17" s="836" t="s">
        <v>572</v>
      </c>
      <c r="D17" s="837">
        <f t="shared" si="0"/>
        <v>4</v>
      </c>
      <c r="E17" s="836" t="s">
        <v>286</v>
      </c>
      <c r="F17" s="836"/>
      <c r="G17" s="844"/>
      <c r="H17" s="845">
        <v>4</v>
      </c>
      <c r="I17" s="845"/>
      <c r="J17" s="846"/>
      <c r="K17" s="382">
        <v>1380000</v>
      </c>
      <c r="L17" s="222">
        <f t="shared" si="1"/>
        <v>5520000</v>
      </c>
      <c r="M17" s="222">
        <f t="shared" si="2"/>
        <v>0</v>
      </c>
      <c r="N17" s="222">
        <f t="shared" si="3"/>
        <v>5520000</v>
      </c>
      <c r="O17" s="222">
        <f t="shared" si="4"/>
        <v>0</v>
      </c>
      <c r="P17" s="222">
        <f t="shared" si="5"/>
        <v>0</v>
      </c>
      <c r="Q17" s="905" t="s">
        <v>4227</v>
      </c>
      <c r="R17" s="453" t="s">
        <v>4763</v>
      </c>
      <c r="S17" s="452">
        <v>4</v>
      </c>
      <c r="T17" s="902">
        <f t="shared" si="6"/>
        <v>0</v>
      </c>
      <c r="U17" s="189">
        <v>667600000</v>
      </c>
    </row>
    <row r="18" spans="1:21">
      <c r="A18" s="836">
        <v>15</v>
      </c>
      <c r="B18" s="836" t="s">
        <v>560</v>
      </c>
      <c r="C18" s="836" t="s">
        <v>573</v>
      </c>
      <c r="D18" s="837">
        <f t="shared" si="0"/>
        <v>40</v>
      </c>
      <c r="E18" s="836" t="s">
        <v>286</v>
      </c>
      <c r="F18" s="836"/>
      <c r="G18" s="844">
        <v>4</v>
      </c>
      <c r="H18" s="845">
        <v>6</v>
      </c>
      <c r="I18" s="845">
        <v>12</v>
      </c>
      <c r="J18" s="846">
        <v>18</v>
      </c>
      <c r="K18" s="382">
        <v>1298580</v>
      </c>
      <c r="L18" s="222">
        <f t="shared" si="1"/>
        <v>51943200</v>
      </c>
      <c r="M18" s="222">
        <f t="shared" si="2"/>
        <v>5194320</v>
      </c>
      <c r="N18" s="222">
        <f t="shared" si="3"/>
        <v>7791480</v>
      </c>
      <c r="O18" s="222">
        <f t="shared" si="4"/>
        <v>15582960</v>
      </c>
      <c r="P18" s="222">
        <f t="shared" si="5"/>
        <v>23374440</v>
      </c>
      <c r="Q18" s="904" t="s">
        <v>4236</v>
      </c>
      <c r="R18" s="400"/>
      <c r="S18" s="400"/>
      <c r="T18" s="902">
        <f t="shared" si="6"/>
        <v>40</v>
      </c>
      <c r="U18" s="189"/>
    </row>
    <row r="19" spans="1:21">
      <c r="A19" s="836">
        <v>16</v>
      </c>
      <c r="B19" s="836" t="s">
        <v>560</v>
      </c>
      <c r="C19" s="836" t="s">
        <v>574</v>
      </c>
      <c r="D19" s="837">
        <f t="shared" si="0"/>
        <v>8</v>
      </c>
      <c r="E19" s="836" t="s">
        <v>286</v>
      </c>
      <c r="F19" s="836"/>
      <c r="G19" s="844">
        <v>4</v>
      </c>
      <c r="H19" s="845"/>
      <c r="I19" s="845"/>
      <c r="J19" s="846">
        <v>4</v>
      </c>
      <c r="K19" s="382">
        <v>1573000</v>
      </c>
      <c r="L19" s="222">
        <f t="shared" si="1"/>
        <v>12584000</v>
      </c>
      <c r="M19" s="222">
        <f t="shared" si="2"/>
        <v>6292000</v>
      </c>
      <c r="N19" s="222">
        <f t="shared" si="3"/>
        <v>0</v>
      </c>
      <c r="O19" s="222">
        <f t="shared" si="4"/>
        <v>0</v>
      </c>
      <c r="P19" s="222">
        <f t="shared" si="5"/>
        <v>6292000</v>
      </c>
      <c r="Q19" s="904" t="s">
        <v>4236</v>
      </c>
      <c r="R19" s="453"/>
      <c r="S19" s="452"/>
      <c r="T19" s="902">
        <f>D19-S19</f>
        <v>8</v>
      </c>
      <c r="U19" s="189"/>
    </row>
    <row r="20" spans="1:21" ht="63">
      <c r="A20" s="836">
        <v>17</v>
      </c>
      <c r="B20" s="836" t="s">
        <v>560</v>
      </c>
      <c r="C20" s="836" t="s">
        <v>575</v>
      </c>
      <c r="D20" s="837">
        <f t="shared" si="0"/>
        <v>204</v>
      </c>
      <c r="E20" s="836" t="s">
        <v>286</v>
      </c>
      <c r="F20" s="836"/>
      <c r="G20" s="844">
        <v>48</v>
      </c>
      <c r="H20" s="845">
        <v>100</v>
      </c>
      <c r="I20" s="845">
        <v>20</v>
      </c>
      <c r="J20" s="846">
        <v>36</v>
      </c>
      <c r="K20" s="382">
        <v>796950</v>
      </c>
      <c r="L20" s="222">
        <f t="shared" si="1"/>
        <v>162577800</v>
      </c>
      <c r="M20" s="222">
        <f t="shared" si="2"/>
        <v>38253600</v>
      </c>
      <c r="N20" s="222">
        <f t="shared" si="3"/>
        <v>79695000</v>
      </c>
      <c r="O20" s="222">
        <f t="shared" si="4"/>
        <v>15939000</v>
      </c>
      <c r="P20" s="222">
        <f t="shared" si="5"/>
        <v>28690200</v>
      </c>
      <c r="Q20" s="493" t="s">
        <v>4236</v>
      </c>
      <c r="R20" s="453" t="s">
        <v>4770</v>
      </c>
      <c r="S20" s="452">
        <f>24+96</f>
        <v>120</v>
      </c>
      <c r="T20" s="902">
        <f t="shared" si="6"/>
        <v>84</v>
      </c>
      <c r="U20" s="189">
        <f>22176000+89656273.92</f>
        <v>111832273.92</v>
      </c>
    </row>
    <row r="21" spans="1:21">
      <c r="A21" s="836">
        <v>18</v>
      </c>
      <c r="B21" s="836" t="s">
        <v>560</v>
      </c>
      <c r="C21" s="836" t="s">
        <v>576</v>
      </c>
      <c r="D21" s="837">
        <f t="shared" si="0"/>
        <v>4</v>
      </c>
      <c r="E21" s="836" t="s">
        <v>286</v>
      </c>
      <c r="F21" s="836"/>
      <c r="G21" s="844"/>
      <c r="H21" s="845">
        <v>4</v>
      </c>
      <c r="I21" s="845"/>
      <c r="J21" s="846"/>
      <c r="K21" s="382">
        <v>1207500</v>
      </c>
      <c r="L21" s="222">
        <f t="shared" si="1"/>
        <v>4830000</v>
      </c>
      <c r="M21" s="222">
        <f t="shared" si="2"/>
        <v>0</v>
      </c>
      <c r="N21" s="222">
        <f t="shared" si="3"/>
        <v>4830000</v>
      </c>
      <c r="O21" s="222">
        <f t="shared" si="4"/>
        <v>0</v>
      </c>
      <c r="P21" s="222">
        <f t="shared" si="5"/>
        <v>0</v>
      </c>
      <c r="Q21" s="905" t="s">
        <v>4227</v>
      </c>
      <c r="R21" s="400"/>
      <c r="S21" s="400"/>
      <c r="T21" s="902">
        <f t="shared" si="6"/>
        <v>4</v>
      </c>
      <c r="U21" s="189"/>
    </row>
    <row r="22" spans="1:21">
      <c r="A22" s="836">
        <v>19</v>
      </c>
      <c r="B22" s="836" t="s">
        <v>560</v>
      </c>
      <c r="C22" s="836" t="s">
        <v>577</v>
      </c>
      <c r="D22" s="837">
        <f t="shared" si="0"/>
        <v>130</v>
      </c>
      <c r="E22" s="836" t="s">
        <v>286</v>
      </c>
      <c r="F22" s="836"/>
      <c r="G22" s="844">
        <v>4</v>
      </c>
      <c r="H22" s="845">
        <v>42</v>
      </c>
      <c r="I22" s="845">
        <v>50</v>
      </c>
      <c r="J22" s="846">
        <v>34</v>
      </c>
      <c r="K22" s="382">
        <v>1350502</v>
      </c>
      <c r="L22" s="222">
        <f t="shared" si="1"/>
        <v>175565260</v>
      </c>
      <c r="M22" s="222">
        <f t="shared" si="2"/>
        <v>5402008</v>
      </c>
      <c r="N22" s="222">
        <f t="shared" si="3"/>
        <v>56721084</v>
      </c>
      <c r="O22" s="222">
        <f t="shared" si="4"/>
        <v>67525100</v>
      </c>
      <c r="P22" s="222">
        <f t="shared" si="5"/>
        <v>45917068</v>
      </c>
      <c r="Q22" s="906" t="s">
        <v>4236</v>
      </c>
      <c r="R22" s="400"/>
      <c r="S22" s="400"/>
      <c r="T22" s="902">
        <f t="shared" si="6"/>
        <v>130</v>
      </c>
      <c r="U22" s="189"/>
    </row>
    <row r="23" spans="1:21">
      <c r="A23" s="836">
        <v>20</v>
      </c>
      <c r="B23" s="836" t="s">
        <v>560</v>
      </c>
      <c r="C23" s="836" t="s">
        <v>578</v>
      </c>
      <c r="D23" s="837">
        <f t="shared" si="0"/>
        <v>4</v>
      </c>
      <c r="E23" s="836" t="s">
        <v>286</v>
      </c>
      <c r="F23" s="836"/>
      <c r="G23" s="844">
        <v>4</v>
      </c>
      <c r="H23" s="845"/>
      <c r="I23" s="845"/>
      <c r="J23" s="846"/>
      <c r="K23" s="382">
        <v>910000</v>
      </c>
      <c r="L23" s="222">
        <f t="shared" si="1"/>
        <v>3640000</v>
      </c>
      <c r="M23" s="222">
        <f t="shared" si="2"/>
        <v>3640000</v>
      </c>
      <c r="N23" s="222">
        <f t="shared" si="3"/>
        <v>0</v>
      </c>
      <c r="O23" s="222">
        <f t="shared" si="4"/>
        <v>0</v>
      </c>
      <c r="P23" s="222">
        <f t="shared" si="5"/>
        <v>0</v>
      </c>
      <c r="Q23" s="906" t="s">
        <v>4236</v>
      </c>
      <c r="R23" s="453"/>
      <c r="S23" s="452"/>
      <c r="T23" s="902">
        <f t="shared" si="6"/>
        <v>4</v>
      </c>
      <c r="U23" s="189"/>
    </row>
    <row r="24" spans="1:21" ht="31.5">
      <c r="A24" s="836">
        <v>21</v>
      </c>
      <c r="B24" s="836" t="s">
        <v>560</v>
      </c>
      <c r="C24" s="836" t="s">
        <v>4718</v>
      </c>
      <c r="D24" s="837">
        <f t="shared" si="0"/>
        <v>4</v>
      </c>
      <c r="E24" s="836" t="s">
        <v>286</v>
      </c>
      <c r="F24" s="836"/>
      <c r="G24" s="844">
        <v>4</v>
      </c>
      <c r="H24" s="845"/>
      <c r="I24" s="845"/>
      <c r="J24" s="846"/>
      <c r="K24" s="382">
        <v>733700</v>
      </c>
      <c r="L24" s="222">
        <f t="shared" si="1"/>
        <v>2934800</v>
      </c>
      <c r="M24" s="222">
        <f t="shared" si="2"/>
        <v>2934800</v>
      </c>
      <c r="N24" s="222">
        <f t="shared" si="3"/>
        <v>0</v>
      </c>
      <c r="O24" s="222">
        <f t="shared" si="4"/>
        <v>0</v>
      </c>
      <c r="P24" s="222">
        <f t="shared" si="5"/>
        <v>0</v>
      </c>
      <c r="Q24" s="657" t="s">
        <v>4719</v>
      </c>
      <c r="R24" s="453" t="s">
        <v>4720</v>
      </c>
      <c r="S24" s="452">
        <v>4</v>
      </c>
      <c r="T24" s="902">
        <f t="shared" si="6"/>
        <v>0</v>
      </c>
      <c r="U24" s="189">
        <v>4396000</v>
      </c>
    </row>
    <row r="25" spans="1:21">
      <c r="A25" s="836">
        <v>22</v>
      </c>
      <c r="B25" s="836" t="s">
        <v>560</v>
      </c>
      <c r="C25" s="836" t="s">
        <v>580</v>
      </c>
      <c r="D25" s="837">
        <f t="shared" si="0"/>
        <v>8</v>
      </c>
      <c r="E25" s="836" t="s">
        <v>286</v>
      </c>
      <c r="F25" s="836"/>
      <c r="G25" s="844">
        <v>4</v>
      </c>
      <c r="H25" s="845"/>
      <c r="I25" s="845">
        <v>4</v>
      </c>
      <c r="J25" s="846"/>
      <c r="K25" s="382">
        <v>2805000</v>
      </c>
      <c r="L25" s="222">
        <f t="shared" si="1"/>
        <v>22440000</v>
      </c>
      <c r="M25" s="222">
        <f t="shared" si="2"/>
        <v>11220000</v>
      </c>
      <c r="N25" s="222">
        <f t="shared" si="3"/>
        <v>0</v>
      </c>
      <c r="O25" s="222">
        <f t="shared" si="4"/>
        <v>11220000</v>
      </c>
      <c r="P25" s="222">
        <f t="shared" si="5"/>
        <v>0</v>
      </c>
      <c r="Q25" s="906" t="s">
        <v>4236</v>
      </c>
      <c r="R25" s="400"/>
      <c r="S25" s="400"/>
      <c r="T25" s="902">
        <f t="shared" si="6"/>
        <v>8</v>
      </c>
      <c r="U25" s="189"/>
    </row>
    <row r="26" spans="1:21" ht="31.5">
      <c r="A26" s="836">
        <v>23</v>
      </c>
      <c r="B26" s="836" t="s">
        <v>560</v>
      </c>
      <c r="C26" s="836" t="s">
        <v>4718</v>
      </c>
      <c r="D26" s="837">
        <f t="shared" si="0"/>
        <v>12</v>
      </c>
      <c r="E26" s="836" t="s">
        <v>286</v>
      </c>
      <c r="F26" s="836"/>
      <c r="G26" s="844"/>
      <c r="H26" s="845">
        <v>8</v>
      </c>
      <c r="I26" s="845"/>
      <c r="J26" s="846">
        <v>4</v>
      </c>
      <c r="K26" s="382">
        <v>1216569</v>
      </c>
      <c r="L26" s="222">
        <f t="shared" si="1"/>
        <v>14598828</v>
      </c>
      <c r="M26" s="222">
        <f t="shared" si="2"/>
        <v>0</v>
      </c>
      <c r="N26" s="222">
        <f t="shared" si="3"/>
        <v>9732552</v>
      </c>
      <c r="O26" s="222">
        <f t="shared" si="4"/>
        <v>0</v>
      </c>
      <c r="P26" s="222">
        <f t="shared" si="5"/>
        <v>4866276</v>
      </c>
      <c r="Q26" s="906" t="s">
        <v>4236</v>
      </c>
      <c r="R26" s="453" t="s">
        <v>4768</v>
      </c>
      <c r="S26" s="453">
        <v>8</v>
      </c>
      <c r="T26" s="902">
        <f t="shared" si="6"/>
        <v>4</v>
      </c>
      <c r="U26" s="189">
        <v>6272000</v>
      </c>
    </row>
    <row r="27" spans="1:21" ht="31.5">
      <c r="A27" s="836">
        <v>24</v>
      </c>
      <c r="B27" s="836" t="s">
        <v>560</v>
      </c>
      <c r="C27" s="836" t="s">
        <v>582</v>
      </c>
      <c r="D27" s="837">
        <f t="shared" si="0"/>
        <v>36</v>
      </c>
      <c r="E27" s="836" t="s">
        <v>286</v>
      </c>
      <c r="F27" s="836"/>
      <c r="G27" s="844">
        <v>8</v>
      </c>
      <c r="H27" s="845"/>
      <c r="I27" s="845">
        <v>16</v>
      </c>
      <c r="J27" s="846">
        <v>12</v>
      </c>
      <c r="K27" s="382">
        <v>1386632</v>
      </c>
      <c r="L27" s="222">
        <f t="shared" si="1"/>
        <v>49918752</v>
      </c>
      <c r="M27" s="222">
        <f t="shared" si="2"/>
        <v>11093056</v>
      </c>
      <c r="N27" s="222">
        <f t="shared" si="3"/>
        <v>0</v>
      </c>
      <c r="O27" s="222">
        <f t="shared" si="4"/>
        <v>22186112</v>
      </c>
      <c r="P27" s="222">
        <f t="shared" si="5"/>
        <v>16639584</v>
      </c>
      <c r="Q27" s="906" t="s">
        <v>4236</v>
      </c>
      <c r="R27" s="982" t="s">
        <v>4768</v>
      </c>
      <c r="S27" s="452">
        <v>24</v>
      </c>
      <c r="T27" s="902">
        <f t="shared" si="6"/>
        <v>12</v>
      </c>
      <c r="U27" s="189">
        <v>29716289.280000001</v>
      </c>
    </row>
    <row r="28" spans="1:21">
      <c r="A28" s="836">
        <v>25</v>
      </c>
      <c r="B28" s="836" t="s">
        <v>560</v>
      </c>
      <c r="C28" s="836" t="s">
        <v>583</v>
      </c>
      <c r="D28" s="837">
        <f t="shared" si="0"/>
        <v>4</v>
      </c>
      <c r="E28" s="836" t="s">
        <v>286</v>
      </c>
      <c r="F28" s="836"/>
      <c r="G28" s="844">
        <v>4</v>
      </c>
      <c r="H28" s="845"/>
      <c r="I28" s="845"/>
      <c r="J28" s="846"/>
      <c r="K28" s="382">
        <v>5600000</v>
      </c>
      <c r="L28" s="222">
        <f t="shared" si="1"/>
        <v>22400000</v>
      </c>
      <c r="M28" s="222">
        <f t="shared" si="2"/>
        <v>22400000</v>
      </c>
      <c r="N28" s="222">
        <f t="shared" si="3"/>
        <v>0</v>
      </c>
      <c r="O28" s="222">
        <f t="shared" si="4"/>
        <v>0</v>
      </c>
      <c r="P28" s="222">
        <f t="shared" si="5"/>
        <v>0</v>
      </c>
      <c r="Q28" s="906" t="s">
        <v>4236</v>
      </c>
      <c r="R28" s="400"/>
      <c r="S28" s="400"/>
      <c r="T28" s="902">
        <f t="shared" si="6"/>
        <v>4</v>
      </c>
      <c r="U28" s="189"/>
    </row>
    <row r="29" spans="1:21" ht="30">
      <c r="A29" s="836">
        <v>26</v>
      </c>
      <c r="B29" s="836" t="s">
        <v>560</v>
      </c>
      <c r="C29" s="836" t="s">
        <v>4716</v>
      </c>
      <c r="D29" s="837">
        <f t="shared" si="0"/>
        <v>4</v>
      </c>
      <c r="E29" s="836" t="s">
        <v>286</v>
      </c>
      <c r="F29" s="836"/>
      <c r="G29" s="844"/>
      <c r="H29" s="845"/>
      <c r="I29" s="845"/>
      <c r="J29" s="846">
        <v>4</v>
      </c>
      <c r="K29" s="382">
        <v>14779403</v>
      </c>
      <c r="L29" s="222">
        <f t="shared" si="1"/>
        <v>59117612</v>
      </c>
      <c r="M29" s="222">
        <f t="shared" si="2"/>
        <v>0</v>
      </c>
      <c r="N29" s="222">
        <f t="shared" si="3"/>
        <v>0</v>
      </c>
      <c r="O29" s="222">
        <f t="shared" si="4"/>
        <v>0</v>
      </c>
      <c r="P29" s="222">
        <f t="shared" si="5"/>
        <v>59117612</v>
      </c>
      <c r="Q29" s="906" t="s">
        <v>4236</v>
      </c>
      <c r="R29" s="400"/>
      <c r="S29" s="400"/>
      <c r="T29" s="902">
        <f t="shared" si="6"/>
        <v>4</v>
      </c>
      <c r="U29" s="189"/>
    </row>
    <row r="30" spans="1:21">
      <c r="A30" s="836">
        <v>27</v>
      </c>
      <c r="B30" s="836" t="s">
        <v>560</v>
      </c>
      <c r="C30" s="836" t="s">
        <v>584</v>
      </c>
      <c r="D30" s="837">
        <f t="shared" si="0"/>
        <v>56</v>
      </c>
      <c r="E30" s="836" t="s">
        <v>286</v>
      </c>
      <c r="F30" s="836"/>
      <c r="G30" s="844">
        <v>0</v>
      </c>
      <c r="H30" s="845">
        <v>16</v>
      </c>
      <c r="I30" s="845">
        <v>18</v>
      </c>
      <c r="J30" s="846">
        <v>22</v>
      </c>
      <c r="K30" s="382">
        <v>1929997</v>
      </c>
      <c r="L30" s="222">
        <f t="shared" si="1"/>
        <v>108079832</v>
      </c>
      <c r="M30" s="222">
        <f t="shared" si="2"/>
        <v>0</v>
      </c>
      <c r="N30" s="222">
        <f t="shared" si="3"/>
        <v>30879952</v>
      </c>
      <c r="O30" s="222">
        <f t="shared" si="4"/>
        <v>34739946</v>
      </c>
      <c r="P30" s="222">
        <f t="shared" si="5"/>
        <v>42459934</v>
      </c>
      <c r="Q30" s="906" t="s">
        <v>4236</v>
      </c>
      <c r="R30" s="400"/>
      <c r="S30" s="400"/>
      <c r="T30" s="902">
        <f t="shared" si="6"/>
        <v>56</v>
      </c>
      <c r="U30" s="189"/>
    </row>
    <row r="31" spans="1:21">
      <c r="A31" s="836">
        <v>28</v>
      </c>
      <c r="B31" s="836" t="s">
        <v>560</v>
      </c>
      <c r="C31" s="836" t="s">
        <v>585</v>
      </c>
      <c r="D31" s="837">
        <f t="shared" si="0"/>
        <v>12</v>
      </c>
      <c r="E31" s="836" t="s">
        <v>286</v>
      </c>
      <c r="F31" s="836"/>
      <c r="G31" s="844">
        <v>0</v>
      </c>
      <c r="H31" s="845">
        <v>4</v>
      </c>
      <c r="I31" s="845">
        <v>8</v>
      </c>
      <c r="J31" s="846"/>
      <c r="K31" s="382">
        <v>2123917</v>
      </c>
      <c r="L31" s="222">
        <f t="shared" si="1"/>
        <v>25487004</v>
      </c>
      <c r="M31" s="222">
        <f t="shared" si="2"/>
        <v>0</v>
      </c>
      <c r="N31" s="222">
        <f t="shared" si="3"/>
        <v>8495668</v>
      </c>
      <c r="O31" s="222">
        <f t="shared" si="4"/>
        <v>16991336</v>
      </c>
      <c r="P31" s="222">
        <f t="shared" si="5"/>
        <v>0</v>
      </c>
      <c r="Q31" s="906" t="s">
        <v>4236</v>
      </c>
      <c r="R31" s="400"/>
      <c r="S31" s="400"/>
      <c r="T31" s="902">
        <f t="shared" si="6"/>
        <v>12</v>
      </c>
      <c r="U31" s="189"/>
    </row>
    <row r="32" spans="1:21">
      <c r="A32" s="836">
        <v>29</v>
      </c>
      <c r="B32" s="836" t="s">
        <v>560</v>
      </c>
      <c r="C32" s="836" t="s">
        <v>586</v>
      </c>
      <c r="D32" s="837">
        <f t="shared" si="0"/>
        <v>108</v>
      </c>
      <c r="E32" s="836" t="s">
        <v>286</v>
      </c>
      <c r="F32" s="836"/>
      <c r="G32" s="844">
        <v>0</v>
      </c>
      <c r="H32" s="845">
        <v>40</v>
      </c>
      <c r="I32" s="845">
        <v>68</v>
      </c>
      <c r="J32" s="846"/>
      <c r="K32" s="382">
        <v>3165712</v>
      </c>
      <c r="L32" s="222">
        <f t="shared" si="1"/>
        <v>341896896</v>
      </c>
      <c r="M32" s="222">
        <f t="shared" si="2"/>
        <v>0</v>
      </c>
      <c r="N32" s="222">
        <f t="shared" si="3"/>
        <v>126628480</v>
      </c>
      <c r="O32" s="222">
        <f t="shared" si="4"/>
        <v>215268416</v>
      </c>
      <c r="P32" s="222">
        <f t="shared" si="5"/>
        <v>0</v>
      </c>
      <c r="Q32" s="906" t="s">
        <v>4236</v>
      </c>
      <c r="R32" s="400"/>
      <c r="S32" s="400"/>
      <c r="T32" s="902">
        <f t="shared" si="6"/>
        <v>108</v>
      </c>
      <c r="U32" s="189"/>
    </row>
    <row r="33" spans="1:21">
      <c r="A33" s="836">
        <v>30</v>
      </c>
      <c r="B33" s="836" t="s">
        <v>560</v>
      </c>
      <c r="C33" s="836" t="s">
        <v>587</v>
      </c>
      <c r="D33" s="837">
        <f t="shared" si="0"/>
        <v>88</v>
      </c>
      <c r="E33" s="836" t="s">
        <v>286</v>
      </c>
      <c r="F33" s="836"/>
      <c r="G33" s="844">
        <v>12</v>
      </c>
      <c r="H33" s="845">
        <v>34</v>
      </c>
      <c r="I33" s="845">
        <v>12</v>
      </c>
      <c r="J33" s="846">
        <v>30</v>
      </c>
      <c r="K33" s="382">
        <v>8179906</v>
      </c>
      <c r="L33" s="222">
        <f t="shared" si="1"/>
        <v>719831728</v>
      </c>
      <c r="M33" s="222">
        <f t="shared" si="2"/>
        <v>98158872</v>
      </c>
      <c r="N33" s="222">
        <f t="shared" si="3"/>
        <v>278116804</v>
      </c>
      <c r="O33" s="222">
        <f t="shared" si="4"/>
        <v>98158872</v>
      </c>
      <c r="P33" s="222">
        <f t="shared" si="5"/>
        <v>245397180</v>
      </c>
      <c r="Q33" s="906" t="s">
        <v>4236</v>
      </c>
      <c r="R33" s="400"/>
      <c r="S33" s="400"/>
      <c r="T33" s="902">
        <f t="shared" si="6"/>
        <v>88</v>
      </c>
      <c r="U33" s="189"/>
    </row>
    <row r="34" spans="1:21">
      <c r="A34" s="836">
        <v>31</v>
      </c>
      <c r="B34" s="836" t="s">
        <v>560</v>
      </c>
      <c r="C34" s="836" t="s">
        <v>588</v>
      </c>
      <c r="D34" s="837">
        <f t="shared" si="0"/>
        <v>12</v>
      </c>
      <c r="E34" s="836" t="s">
        <v>286</v>
      </c>
      <c r="F34" s="836"/>
      <c r="G34" s="844"/>
      <c r="H34" s="845">
        <v>6</v>
      </c>
      <c r="I34" s="845">
        <v>6</v>
      </c>
      <c r="J34" s="846"/>
      <c r="K34" s="382">
        <v>3303098</v>
      </c>
      <c r="L34" s="222">
        <f t="shared" si="1"/>
        <v>39637176</v>
      </c>
      <c r="M34" s="222">
        <f t="shared" si="2"/>
        <v>0</v>
      </c>
      <c r="N34" s="222">
        <f t="shared" si="3"/>
        <v>19818588</v>
      </c>
      <c r="O34" s="222">
        <f t="shared" si="4"/>
        <v>19818588</v>
      </c>
      <c r="P34" s="222">
        <f t="shared" si="5"/>
        <v>0</v>
      </c>
      <c r="Q34" s="906" t="s">
        <v>4236</v>
      </c>
      <c r="R34" s="400"/>
      <c r="S34" s="400"/>
      <c r="T34" s="902">
        <f t="shared" si="6"/>
        <v>12</v>
      </c>
      <c r="U34" s="189"/>
    </row>
    <row r="35" spans="1:21">
      <c r="A35" s="836">
        <v>32</v>
      </c>
      <c r="B35" s="836" t="s">
        <v>560</v>
      </c>
      <c r="C35" s="836" t="s">
        <v>589</v>
      </c>
      <c r="D35" s="837">
        <f t="shared" si="0"/>
        <v>364</v>
      </c>
      <c r="E35" s="836" t="s">
        <v>286</v>
      </c>
      <c r="F35" s="836"/>
      <c r="G35" s="844">
        <v>0</v>
      </c>
      <c r="H35" s="845">
        <v>98</v>
      </c>
      <c r="I35" s="845">
        <v>136</v>
      </c>
      <c r="J35" s="846">
        <v>130</v>
      </c>
      <c r="K35" s="382">
        <v>13915000</v>
      </c>
      <c r="L35" s="222">
        <f t="shared" si="1"/>
        <v>5065060000</v>
      </c>
      <c r="M35" s="222">
        <f t="shared" si="2"/>
        <v>0</v>
      </c>
      <c r="N35" s="222">
        <f t="shared" si="3"/>
        <v>1363670000</v>
      </c>
      <c r="O35" s="222">
        <f t="shared" si="4"/>
        <v>1892440000</v>
      </c>
      <c r="P35" s="222">
        <f t="shared" si="5"/>
        <v>1808950000</v>
      </c>
      <c r="Q35" s="906" t="s">
        <v>4236</v>
      </c>
      <c r="R35" s="400"/>
      <c r="S35" s="400"/>
      <c r="T35" s="902">
        <f t="shared" si="6"/>
        <v>364</v>
      </c>
      <c r="U35" s="189"/>
    </row>
    <row r="36" spans="1:21" ht="30">
      <c r="A36" s="836">
        <v>33</v>
      </c>
      <c r="B36" s="836" t="s">
        <v>560</v>
      </c>
      <c r="C36" s="836" t="s">
        <v>590</v>
      </c>
      <c r="D36" s="837">
        <f t="shared" si="0"/>
        <v>6</v>
      </c>
      <c r="E36" s="836" t="s">
        <v>286</v>
      </c>
      <c r="F36" s="836"/>
      <c r="G36" s="844">
        <v>2</v>
      </c>
      <c r="H36" s="845">
        <v>4</v>
      </c>
      <c r="I36" s="845"/>
      <c r="J36" s="846"/>
      <c r="K36" s="382">
        <v>8294000</v>
      </c>
      <c r="L36" s="222">
        <f t="shared" si="1"/>
        <v>49764000</v>
      </c>
      <c r="M36" s="222">
        <f t="shared" si="2"/>
        <v>16588000</v>
      </c>
      <c r="N36" s="222">
        <f t="shared" si="3"/>
        <v>33176000</v>
      </c>
      <c r="O36" s="222">
        <f t="shared" si="4"/>
        <v>0</v>
      </c>
      <c r="P36" s="222">
        <f t="shared" si="5"/>
        <v>0</v>
      </c>
      <c r="Q36" s="906" t="s">
        <v>4236</v>
      </c>
      <c r="R36" s="400"/>
      <c r="S36" s="400"/>
      <c r="T36" s="902">
        <f t="shared" si="6"/>
        <v>6</v>
      </c>
      <c r="U36" s="189"/>
    </row>
    <row r="37" spans="1:21">
      <c r="A37" s="836">
        <v>34</v>
      </c>
      <c r="B37" s="836" t="s">
        <v>560</v>
      </c>
      <c r="C37" s="836" t="s">
        <v>591</v>
      </c>
      <c r="D37" s="837">
        <f t="shared" si="0"/>
        <v>4</v>
      </c>
      <c r="E37" s="836" t="s">
        <v>286</v>
      </c>
      <c r="F37" s="836"/>
      <c r="G37" s="844">
        <v>2</v>
      </c>
      <c r="H37" s="845"/>
      <c r="I37" s="845">
        <v>2</v>
      </c>
      <c r="J37" s="846"/>
      <c r="K37" s="382">
        <v>2326500</v>
      </c>
      <c r="L37" s="222">
        <f t="shared" si="1"/>
        <v>9306000</v>
      </c>
      <c r="M37" s="222">
        <f t="shared" si="2"/>
        <v>4653000</v>
      </c>
      <c r="N37" s="222">
        <f t="shared" si="3"/>
        <v>0</v>
      </c>
      <c r="O37" s="222">
        <f t="shared" si="4"/>
        <v>4653000</v>
      </c>
      <c r="P37" s="222">
        <f t="shared" si="5"/>
        <v>0</v>
      </c>
      <c r="Q37" s="906" t="s">
        <v>4236</v>
      </c>
      <c r="R37" s="400"/>
      <c r="S37" s="400"/>
      <c r="T37" s="902">
        <f t="shared" si="6"/>
        <v>4</v>
      </c>
      <c r="U37" s="189"/>
    </row>
    <row r="38" spans="1:21">
      <c r="A38" s="836">
        <v>35</v>
      </c>
      <c r="B38" s="836" t="s">
        <v>560</v>
      </c>
      <c r="C38" s="836" t="s">
        <v>592</v>
      </c>
      <c r="D38" s="837">
        <f t="shared" si="0"/>
        <v>10</v>
      </c>
      <c r="E38" s="836" t="s">
        <v>286</v>
      </c>
      <c r="F38" s="836"/>
      <c r="G38" s="844">
        <v>6</v>
      </c>
      <c r="H38" s="845"/>
      <c r="I38" s="845">
        <v>4</v>
      </c>
      <c r="J38" s="846"/>
      <c r="K38" s="382">
        <v>1644500</v>
      </c>
      <c r="L38" s="222">
        <f t="shared" si="1"/>
        <v>16445000</v>
      </c>
      <c r="M38" s="222">
        <f t="shared" si="2"/>
        <v>9867000</v>
      </c>
      <c r="N38" s="222">
        <f t="shared" si="3"/>
        <v>0</v>
      </c>
      <c r="O38" s="222">
        <f t="shared" si="4"/>
        <v>6578000</v>
      </c>
      <c r="P38" s="222">
        <f t="shared" si="5"/>
        <v>0</v>
      </c>
      <c r="Q38" s="906" t="s">
        <v>4236</v>
      </c>
      <c r="R38" s="400"/>
      <c r="S38" s="400"/>
      <c r="T38" s="902">
        <f t="shared" si="6"/>
        <v>10</v>
      </c>
      <c r="U38" s="189"/>
    </row>
    <row r="39" spans="1:21" ht="30">
      <c r="A39" s="836">
        <v>36</v>
      </c>
      <c r="B39" s="836" t="s">
        <v>560</v>
      </c>
      <c r="C39" s="836" t="s">
        <v>593</v>
      </c>
      <c r="D39" s="837">
        <f t="shared" si="0"/>
        <v>14</v>
      </c>
      <c r="E39" s="836" t="s">
        <v>286</v>
      </c>
      <c r="F39" s="836"/>
      <c r="G39" s="844">
        <v>0</v>
      </c>
      <c r="H39" s="845">
        <v>4</v>
      </c>
      <c r="I39" s="845">
        <v>10</v>
      </c>
      <c r="J39" s="846"/>
      <c r="K39" s="382">
        <v>1471019</v>
      </c>
      <c r="L39" s="222">
        <f t="shared" si="1"/>
        <v>20594266</v>
      </c>
      <c r="M39" s="222">
        <f t="shared" si="2"/>
        <v>0</v>
      </c>
      <c r="N39" s="222">
        <f t="shared" si="3"/>
        <v>5884076</v>
      </c>
      <c r="O39" s="222">
        <f t="shared" si="4"/>
        <v>14710190</v>
      </c>
      <c r="P39" s="222">
        <f t="shared" si="5"/>
        <v>0</v>
      </c>
      <c r="Q39" s="906" t="s">
        <v>4236</v>
      </c>
      <c r="R39" s="400"/>
      <c r="S39" s="400"/>
      <c r="T39" s="902">
        <f t="shared" si="6"/>
        <v>14</v>
      </c>
      <c r="U39" s="189"/>
    </row>
    <row r="40" spans="1:21">
      <c r="A40" s="1121" t="s">
        <v>2817</v>
      </c>
      <c r="B40" s="1121"/>
      <c r="C40" s="1121"/>
      <c r="D40" s="1121"/>
      <c r="E40" s="1121"/>
      <c r="F40" s="1121"/>
      <c r="G40" s="1121"/>
      <c r="H40" s="1121"/>
      <c r="I40" s="1121"/>
      <c r="J40" s="1122"/>
      <c r="K40" s="848"/>
      <c r="L40" s="379">
        <f>SUM(L4:L39)</f>
        <v>7406363374</v>
      </c>
      <c r="M40" s="379">
        <f>SUM(M4:M39)</f>
        <v>366731024</v>
      </c>
      <c r="N40" s="379">
        <f>SUM(N4:N39)</f>
        <v>2097953198</v>
      </c>
      <c r="O40" s="379">
        <f>SUM(O4:O39)</f>
        <v>2563056440</v>
      </c>
      <c r="P40" s="379">
        <f>SUM(P4:P39)</f>
        <v>2378622712</v>
      </c>
      <c r="Q40" s="461"/>
      <c r="R40" s="400"/>
      <c r="S40" s="400"/>
      <c r="T40" s="902">
        <f t="shared" si="6"/>
        <v>0</v>
      </c>
      <c r="U40" s="189"/>
    </row>
    <row r="41" spans="1:21">
      <c r="A41" s="1143" t="s">
        <v>1898</v>
      </c>
      <c r="B41" s="1143"/>
      <c r="C41" s="1143"/>
      <c r="D41" s="1143"/>
      <c r="E41" s="1143"/>
      <c r="F41" s="1143"/>
      <c r="G41" s="1143"/>
      <c r="H41" s="1143"/>
      <c r="I41" s="1143"/>
      <c r="J41" s="1144"/>
      <c r="K41" s="849"/>
      <c r="L41" s="381"/>
      <c r="M41" s="381"/>
      <c r="N41" s="381"/>
      <c r="O41" s="381"/>
      <c r="P41" s="381"/>
      <c r="Q41" s="461"/>
      <c r="R41" s="400"/>
      <c r="S41" s="400"/>
      <c r="T41" s="902">
        <f t="shared" si="6"/>
        <v>0</v>
      </c>
      <c r="U41" s="189"/>
    </row>
    <row r="42" spans="1:21" ht="31.5">
      <c r="A42" s="836">
        <v>37</v>
      </c>
      <c r="B42" s="836" t="s">
        <v>596</v>
      </c>
      <c r="C42" s="836" t="s">
        <v>1888</v>
      </c>
      <c r="D42" s="837">
        <f t="shared" si="0"/>
        <v>4</v>
      </c>
      <c r="E42" s="836" t="s">
        <v>286</v>
      </c>
      <c r="F42" s="836"/>
      <c r="G42" s="850">
        <v>4</v>
      </c>
      <c r="H42" s="838"/>
      <c r="I42" s="838"/>
      <c r="J42" s="839"/>
      <c r="K42" s="382">
        <v>1045000</v>
      </c>
      <c r="L42" s="222">
        <f t="shared" si="1"/>
        <v>4180000</v>
      </c>
      <c r="M42" s="222">
        <f t="shared" si="2"/>
        <v>4180000</v>
      </c>
      <c r="N42" s="222">
        <f t="shared" si="3"/>
        <v>0</v>
      </c>
      <c r="O42" s="222">
        <f t="shared" si="4"/>
        <v>0</v>
      </c>
      <c r="P42" s="222">
        <f t="shared" si="5"/>
        <v>0</v>
      </c>
      <c r="Q42" s="905" t="s">
        <v>4227</v>
      </c>
      <c r="R42" s="453" t="s">
        <v>4721</v>
      </c>
      <c r="S42" s="452">
        <v>4</v>
      </c>
      <c r="T42" s="902">
        <f t="shared" si="6"/>
        <v>0</v>
      </c>
      <c r="U42" s="189">
        <v>3600000</v>
      </c>
    </row>
    <row r="43" spans="1:21">
      <c r="A43" s="836">
        <v>38</v>
      </c>
      <c r="B43" s="836" t="s">
        <v>596</v>
      </c>
      <c r="C43" s="836" t="s">
        <v>1889</v>
      </c>
      <c r="D43" s="837">
        <f t="shared" si="0"/>
        <v>1</v>
      </c>
      <c r="E43" s="836" t="s">
        <v>286</v>
      </c>
      <c r="F43" s="836"/>
      <c r="G43" s="844">
        <v>1</v>
      </c>
      <c r="H43" s="845"/>
      <c r="I43" s="845"/>
      <c r="J43" s="846"/>
      <c r="K43" s="382">
        <v>1350000</v>
      </c>
      <c r="L43" s="222">
        <f t="shared" si="1"/>
        <v>1350000</v>
      </c>
      <c r="M43" s="222">
        <f t="shared" si="2"/>
        <v>1350000</v>
      </c>
      <c r="N43" s="222">
        <f t="shared" si="3"/>
        <v>0</v>
      </c>
      <c r="O43" s="222">
        <f t="shared" si="4"/>
        <v>0</v>
      </c>
      <c r="P43" s="222">
        <f t="shared" si="5"/>
        <v>0</v>
      </c>
      <c r="Q43" s="905" t="s">
        <v>4227</v>
      </c>
      <c r="R43" s="453"/>
      <c r="S43" s="452"/>
      <c r="T43" s="902">
        <f t="shared" si="6"/>
        <v>1</v>
      </c>
      <c r="U43" s="189"/>
    </row>
    <row r="44" spans="1:21" ht="31.5">
      <c r="A44" s="836">
        <v>39</v>
      </c>
      <c r="B44" s="836" t="s">
        <v>596</v>
      </c>
      <c r="C44" s="836" t="s">
        <v>1890</v>
      </c>
      <c r="D44" s="837">
        <f t="shared" si="0"/>
        <v>3</v>
      </c>
      <c r="E44" s="836" t="s">
        <v>286</v>
      </c>
      <c r="F44" s="836"/>
      <c r="G44" s="844">
        <v>0</v>
      </c>
      <c r="H44" s="845">
        <v>0</v>
      </c>
      <c r="I44" s="845">
        <v>0</v>
      </c>
      <c r="J44" s="846">
        <v>3</v>
      </c>
      <c r="K44" s="382">
        <v>1725000</v>
      </c>
      <c r="L44" s="222">
        <f t="shared" si="1"/>
        <v>5175000</v>
      </c>
      <c r="M44" s="222">
        <f t="shared" si="2"/>
        <v>0</v>
      </c>
      <c r="N44" s="222">
        <f t="shared" si="3"/>
        <v>0</v>
      </c>
      <c r="O44" s="222">
        <f t="shared" si="4"/>
        <v>0</v>
      </c>
      <c r="P44" s="222">
        <f t="shared" si="5"/>
        <v>5175000</v>
      </c>
      <c r="Q44" s="905" t="s">
        <v>4227</v>
      </c>
      <c r="R44" s="453" t="s">
        <v>4771</v>
      </c>
      <c r="S44" s="452">
        <v>3</v>
      </c>
      <c r="T44" s="902">
        <f t="shared" si="6"/>
        <v>0</v>
      </c>
      <c r="U44" s="189">
        <v>4755000</v>
      </c>
    </row>
    <row r="45" spans="1:21" ht="31.5">
      <c r="A45" s="836">
        <v>40</v>
      </c>
      <c r="B45" s="836" t="s">
        <v>596</v>
      </c>
      <c r="C45" s="836" t="s">
        <v>1891</v>
      </c>
      <c r="D45" s="837">
        <f t="shared" si="0"/>
        <v>8</v>
      </c>
      <c r="E45" s="836" t="s">
        <v>286</v>
      </c>
      <c r="F45" s="836"/>
      <c r="G45" s="844">
        <v>0</v>
      </c>
      <c r="H45" s="845">
        <v>0</v>
      </c>
      <c r="I45" s="845">
        <v>0</v>
      </c>
      <c r="J45" s="846">
        <v>8</v>
      </c>
      <c r="K45" s="382">
        <v>1485000</v>
      </c>
      <c r="L45" s="222">
        <f t="shared" si="1"/>
        <v>11880000</v>
      </c>
      <c r="M45" s="222">
        <f t="shared" si="2"/>
        <v>0</v>
      </c>
      <c r="N45" s="222">
        <f t="shared" si="3"/>
        <v>0</v>
      </c>
      <c r="O45" s="222">
        <f t="shared" si="4"/>
        <v>0</v>
      </c>
      <c r="P45" s="222">
        <f t="shared" si="5"/>
        <v>11880000</v>
      </c>
      <c r="Q45" s="905" t="s">
        <v>4227</v>
      </c>
      <c r="R45" s="453" t="s">
        <v>4771</v>
      </c>
      <c r="S45" s="452">
        <v>8</v>
      </c>
      <c r="T45" s="902">
        <f t="shared" si="6"/>
        <v>0</v>
      </c>
      <c r="U45" s="189">
        <v>12680000</v>
      </c>
    </row>
    <row r="46" spans="1:21" ht="63">
      <c r="A46" s="836">
        <v>41</v>
      </c>
      <c r="B46" s="836" t="s">
        <v>596</v>
      </c>
      <c r="C46" s="836" t="s">
        <v>1892</v>
      </c>
      <c r="D46" s="837">
        <f t="shared" si="0"/>
        <v>245</v>
      </c>
      <c r="E46" s="836" t="s">
        <v>286</v>
      </c>
      <c r="F46" s="836"/>
      <c r="G46" s="844">
        <v>50</v>
      </c>
      <c r="H46" s="845">
        <v>60</v>
      </c>
      <c r="I46" s="845">
        <v>65</v>
      </c>
      <c r="J46" s="846">
        <v>70</v>
      </c>
      <c r="K46" s="382">
        <v>2127500</v>
      </c>
      <c r="L46" s="222">
        <f t="shared" si="1"/>
        <v>521237500</v>
      </c>
      <c r="M46" s="222">
        <f t="shared" si="2"/>
        <v>106375000</v>
      </c>
      <c r="N46" s="222">
        <f t="shared" si="3"/>
        <v>127650000</v>
      </c>
      <c r="O46" s="222">
        <f t="shared" si="4"/>
        <v>138287500</v>
      </c>
      <c r="P46" s="222">
        <f t="shared" si="5"/>
        <v>148925000</v>
      </c>
      <c r="Q46" s="905" t="s">
        <v>4227</v>
      </c>
      <c r="R46" s="453" t="s">
        <v>4772</v>
      </c>
      <c r="S46" s="452">
        <f>50+60</f>
        <v>110</v>
      </c>
      <c r="T46" s="902">
        <f t="shared" si="6"/>
        <v>135</v>
      </c>
      <c r="U46" s="189">
        <f>89000000+126600000</f>
        <v>215600000</v>
      </c>
    </row>
    <row r="47" spans="1:21" ht="63">
      <c r="A47" s="836">
        <v>42</v>
      </c>
      <c r="B47" s="836" t="s">
        <v>596</v>
      </c>
      <c r="C47" s="836" t="s">
        <v>1893</v>
      </c>
      <c r="D47" s="837">
        <f t="shared" si="0"/>
        <v>22</v>
      </c>
      <c r="E47" s="836" t="s">
        <v>286</v>
      </c>
      <c r="F47" s="836"/>
      <c r="G47" s="844">
        <v>12</v>
      </c>
      <c r="H47" s="845">
        <v>4</v>
      </c>
      <c r="I47" s="845">
        <v>4</v>
      </c>
      <c r="J47" s="846">
        <v>2</v>
      </c>
      <c r="K47" s="382">
        <v>483000</v>
      </c>
      <c r="L47" s="222">
        <f t="shared" si="1"/>
        <v>10626000</v>
      </c>
      <c r="M47" s="222">
        <f t="shared" si="2"/>
        <v>5796000</v>
      </c>
      <c r="N47" s="222">
        <f t="shared" si="3"/>
        <v>1932000</v>
      </c>
      <c r="O47" s="222">
        <f t="shared" si="4"/>
        <v>1932000</v>
      </c>
      <c r="P47" s="222">
        <f t="shared" si="5"/>
        <v>966000</v>
      </c>
      <c r="Q47" s="905" t="s">
        <v>4227</v>
      </c>
      <c r="R47" s="453" t="s">
        <v>4773</v>
      </c>
      <c r="S47" s="452">
        <f>12+4</f>
        <v>16</v>
      </c>
      <c r="T47" s="902">
        <f t="shared" si="6"/>
        <v>6</v>
      </c>
      <c r="U47" s="189">
        <f>5160000+1880000</f>
        <v>7040000</v>
      </c>
    </row>
    <row r="48" spans="1:21" ht="31.5">
      <c r="A48" s="836">
        <v>43</v>
      </c>
      <c r="B48" s="836" t="s">
        <v>596</v>
      </c>
      <c r="C48" s="836" t="s">
        <v>1894</v>
      </c>
      <c r="D48" s="837">
        <f t="shared" si="0"/>
        <v>1</v>
      </c>
      <c r="E48" s="836" t="s">
        <v>286</v>
      </c>
      <c r="F48" s="836"/>
      <c r="G48" s="844"/>
      <c r="H48" s="845"/>
      <c r="I48" s="845">
        <v>1</v>
      </c>
      <c r="J48" s="846"/>
      <c r="K48" s="382">
        <v>625000</v>
      </c>
      <c r="L48" s="222">
        <f t="shared" si="1"/>
        <v>625000</v>
      </c>
      <c r="M48" s="222">
        <f t="shared" si="2"/>
        <v>0</v>
      </c>
      <c r="N48" s="222">
        <f t="shared" si="3"/>
        <v>0</v>
      </c>
      <c r="O48" s="222">
        <f t="shared" si="4"/>
        <v>625000</v>
      </c>
      <c r="P48" s="222">
        <f t="shared" si="5"/>
        <v>0</v>
      </c>
      <c r="Q48" s="905" t="s">
        <v>4227</v>
      </c>
      <c r="R48" s="453" t="s">
        <v>4774</v>
      </c>
      <c r="S48" s="452">
        <v>1</v>
      </c>
      <c r="T48" s="902">
        <f t="shared" si="6"/>
        <v>0</v>
      </c>
      <c r="U48" s="189">
        <v>570000</v>
      </c>
    </row>
    <row r="49" spans="1:21" ht="63">
      <c r="A49" s="836">
        <v>44</v>
      </c>
      <c r="B49" s="836" t="s">
        <v>596</v>
      </c>
      <c r="C49" s="836" t="s">
        <v>1895</v>
      </c>
      <c r="D49" s="837">
        <f t="shared" si="0"/>
        <v>18</v>
      </c>
      <c r="E49" s="836" t="s">
        <v>286</v>
      </c>
      <c r="F49" s="836"/>
      <c r="G49" s="844">
        <v>1</v>
      </c>
      <c r="H49" s="845">
        <v>4</v>
      </c>
      <c r="I49" s="845">
        <v>7</v>
      </c>
      <c r="J49" s="846">
        <v>6</v>
      </c>
      <c r="K49" s="382">
        <v>701500</v>
      </c>
      <c r="L49" s="222">
        <f t="shared" si="1"/>
        <v>12627000</v>
      </c>
      <c r="M49" s="222">
        <f t="shared" si="2"/>
        <v>701500</v>
      </c>
      <c r="N49" s="222">
        <f t="shared" si="3"/>
        <v>2806000</v>
      </c>
      <c r="O49" s="222">
        <f t="shared" si="4"/>
        <v>4910500</v>
      </c>
      <c r="P49" s="222">
        <f t="shared" si="5"/>
        <v>4209000</v>
      </c>
      <c r="Q49" s="905" t="s">
        <v>4227</v>
      </c>
      <c r="R49" s="453" t="s">
        <v>4775</v>
      </c>
      <c r="S49" s="452">
        <f>1+4</f>
        <v>5</v>
      </c>
      <c r="T49" s="902">
        <f>D49-S49</f>
        <v>13</v>
      </c>
      <c r="U49" s="189">
        <f>635000+3375000</f>
        <v>4010000</v>
      </c>
    </row>
    <row r="50" spans="1:21" ht="31.5">
      <c r="A50" s="836">
        <v>45</v>
      </c>
      <c r="B50" s="836" t="s">
        <v>596</v>
      </c>
      <c r="C50" s="836" t="s">
        <v>1887</v>
      </c>
      <c r="D50" s="837">
        <f t="shared" si="0"/>
        <v>3</v>
      </c>
      <c r="E50" s="836" t="s">
        <v>286</v>
      </c>
      <c r="F50" s="836"/>
      <c r="G50" s="844">
        <v>2</v>
      </c>
      <c r="H50" s="845"/>
      <c r="I50" s="845">
        <v>1</v>
      </c>
      <c r="J50" s="846"/>
      <c r="K50" s="382">
        <v>701500</v>
      </c>
      <c r="L50" s="222">
        <f t="shared" si="1"/>
        <v>2104500</v>
      </c>
      <c r="M50" s="222">
        <f t="shared" si="2"/>
        <v>1403000</v>
      </c>
      <c r="N50" s="222">
        <f t="shared" si="3"/>
        <v>0</v>
      </c>
      <c r="O50" s="222">
        <f t="shared" si="4"/>
        <v>701500</v>
      </c>
      <c r="P50" s="222">
        <f t="shared" si="5"/>
        <v>0</v>
      </c>
      <c r="Q50" s="905" t="s">
        <v>4227</v>
      </c>
      <c r="R50" s="453" t="s">
        <v>4722</v>
      </c>
      <c r="S50" s="452">
        <f>2+1</f>
        <v>3</v>
      </c>
      <c r="T50" s="902">
        <f t="shared" si="6"/>
        <v>0</v>
      </c>
      <c r="U50" s="189">
        <f>1270000+675000</f>
        <v>1945000</v>
      </c>
    </row>
    <row r="51" spans="1:21" ht="63">
      <c r="A51" s="836">
        <v>46</v>
      </c>
      <c r="B51" s="836" t="s">
        <v>596</v>
      </c>
      <c r="C51" s="836" t="s">
        <v>1896</v>
      </c>
      <c r="D51" s="837">
        <f t="shared" si="0"/>
        <v>42</v>
      </c>
      <c r="E51" s="836" t="s">
        <v>286</v>
      </c>
      <c r="F51" s="836"/>
      <c r="G51" s="844">
        <v>8</v>
      </c>
      <c r="H51" s="845">
        <v>11</v>
      </c>
      <c r="I51" s="845">
        <v>5</v>
      </c>
      <c r="J51" s="846">
        <v>18</v>
      </c>
      <c r="K51" s="382">
        <v>943000</v>
      </c>
      <c r="L51" s="222">
        <f t="shared" si="1"/>
        <v>39606000</v>
      </c>
      <c r="M51" s="222">
        <f t="shared" si="2"/>
        <v>7544000</v>
      </c>
      <c r="N51" s="222">
        <f t="shared" si="3"/>
        <v>10373000</v>
      </c>
      <c r="O51" s="222">
        <f t="shared" si="4"/>
        <v>4715000</v>
      </c>
      <c r="P51" s="222">
        <f t="shared" si="5"/>
        <v>16974000</v>
      </c>
      <c r="Q51" s="905" t="s">
        <v>4227</v>
      </c>
      <c r="R51" s="453" t="s">
        <v>4776</v>
      </c>
      <c r="S51" s="452">
        <f>8+11</f>
        <v>19</v>
      </c>
      <c r="T51" s="902">
        <f t="shared" si="6"/>
        <v>23</v>
      </c>
      <c r="U51" s="189">
        <f>5720000+9075000</f>
        <v>14795000</v>
      </c>
    </row>
    <row r="52" spans="1:21" ht="31.5">
      <c r="A52" s="836">
        <v>47</v>
      </c>
      <c r="B52" s="836" t="s">
        <v>596</v>
      </c>
      <c r="C52" s="836" t="s">
        <v>1886</v>
      </c>
      <c r="D52" s="837">
        <f t="shared" si="0"/>
        <v>3</v>
      </c>
      <c r="E52" s="836" t="s">
        <v>286</v>
      </c>
      <c r="F52" s="836"/>
      <c r="G52" s="844"/>
      <c r="H52" s="845">
        <v>2</v>
      </c>
      <c r="I52" s="845"/>
      <c r="J52" s="846">
        <v>1</v>
      </c>
      <c r="K52" s="382">
        <v>943000</v>
      </c>
      <c r="L52" s="222">
        <f t="shared" si="1"/>
        <v>2829000</v>
      </c>
      <c r="M52" s="222">
        <f t="shared" si="2"/>
        <v>0</v>
      </c>
      <c r="N52" s="222">
        <f t="shared" si="3"/>
        <v>1886000</v>
      </c>
      <c r="O52" s="222">
        <f t="shared" si="4"/>
        <v>0</v>
      </c>
      <c r="P52" s="222">
        <f t="shared" si="5"/>
        <v>943000</v>
      </c>
      <c r="Q52" s="905" t="s">
        <v>4227</v>
      </c>
      <c r="R52" s="453" t="s">
        <v>4777</v>
      </c>
      <c r="S52" s="452">
        <v>2</v>
      </c>
      <c r="T52" s="902">
        <f t="shared" si="6"/>
        <v>1</v>
      </c>
      <c r="U52" s="189">
        <v>1650000</v>
      </c>
    </row>
    <row r="53" spans="1:21" ht="63">
      <c r="A53" s="836">
        <v>48</v>
      </c>
      <c r="B53" s="836" t="s">
        <v>596</v>
      </c>
      <c r="C53" s="836" t="s">
        <v>1897</v>
      </c>
      <c r="D53" s="837">
        <f t="shared" si="0"/>
        <v>40</v>
      </c>
      <c r="E53" s="836" t="s">
        <v>286</v>
      </c>
      <c r="F53" s="836"/>
      <c r="G53" s="844">
        <v>13</v>
      </c>
      <c r="H53" s="845">
        <v>8</v>
      </c>
      <c r="I53" s="845">
        <v>10</v>
      </c>
      <c r="J53" s="846">
        <v>9</v>
      </c>
      <c r="K53" s="382">
        <v>1000500</v>
      </c>
      <c r="L53" s="222">
        <f t="shared" si="1"/>
        <v>40020000</v>
      </c>
      <c r="M53" s="222">
        <f t="shared" si="2"/>
        <v>13006500</v>
      </c>
      <c r="N53" s="222">
        <f t="shared" si="3"/>
        <v>8004000</v>
      </c>
      <c r="O53" s="222">
        <f t="shared" si="4"/>
        <v>10005000</v>
      </c>
      <c r="P53" s="222">
        <f t="shared" si="5"/>
        <v>9004500</v>
      </c>
      <c r="Q53" s="905" t="s">
        <v>4227</v>
      </c>
      <c r="R53" s="453" t="s">
        <v>4778</v>
      </c>
      <c r="S53" s="452">
        <f>13+8</f>
        <v>21</v>
      </c>
      <c r="T53" s="902">
        <f t="shared" si="6"/>
        <v>19</v>
      </c>
      <c r="U53" s="189">
        <f>11700000+8640000</f>
        <v>20340000</v>
      </c>
    </row>
    <row r="54" spans="1:21" s="38" customFormat="1">
      <c r="A54" s="1121" t="s">
        <v>2817</v>
      </c>
      <c r="B54" s="1121"/>
      <c r="C54" s="1121"/>
      <c r="D54" s="1121"/>
      <c r="E54" s="1121"/>
      <c r="F54" s="1121"/>
      <c r="G54" s="1121"/>
      <c r="H54" s="1121"/>
      <c r="I54" s="1121"/>
      <c r="J54" s="1122"/>
      <c r="K54" s="848"/>
      <c r="L54" s="379">
        <f>SUM(L42:L53)</f>
        <v>652260000</v>
      </c>
      <c r="M54" s="379">
        <f>SUM(M42:M53)</f>
        <v>140356000</v>
      </c>
      <c r="N54" s="379">
        <f>SUM(N42:N53)</f>
        <v>152651000</v>
      </c>
      <c r="O54" s="379">
        <f>SUM(O42:O53)</f>
        <v>161176500</v>
      </c>
      <c r="P54" s="379">
        <f>SUM(P42:P53)</f>
        <v>198076500</v>
      </c>
      <c r="Q54" s="464"/>
      <c r="R54" s="452"/>
      <c r="S54" s="452"/>
      <c r="T54" s="902">
        <f t="shared" si="6"/>
        <v>0</v>
      </c>
      <c r="U54" s="189"/>
    </row>
    <row r="55" spans="1:21" s="38" customFormat="1">
      <c r="A55" s="1145" t="s">
        <v>1904</v>
      </c>
      <c r="B55" s="1145"/>
      <c r="C55" s="1145"/>
      <c r="D55" s="1145"/>
      <c r="E55" s="1145"/>
      <c r="F55" s="1145"/>
      <c r="G55" s="1145"/>
      <c r="H55" s="1145"/>
      <c r="I55" s="1145"/>
      <c r="J55" s="1145"/>
      <c r="K55" s="851"/>
      <c r="L55" s="851"/>
      <c r="M55" s="851"/>
      <c r="N55" s="851"/>
      <c r="O55" s="851"/>
      <c r="P55" s="851"/>
      <c r="Q55" s="464"/>
      <c r="R55" s="452"/>
      <c r="S55" s="452"/>
      <c r="T55" s="902">
        <f t="shared" si="6"/>
        <v>0</v>
      </c>
      <c r="U55" s="189"/>
    </row>
    <row r="56" spans="1:21" ht="30">
      <c r="A56" s="836">
        <v>49</v>
      </c>
      <c r="B56" s="463" t="s">
        <v>1899</v>
      </c>
      <c r="C56" s="464" t="s">
        <v>1900</v>
      </c>
      <c r="D56" s="464">
        <v>6</v>
      </c>
      <c r="E56" s="836" t="s">
        <v>286</v>
      </c>
      <c r="F56" s="464"/>
      <c r="G56" s="464"/>
      <c r="H56" s="464"/>
      <c r="I56" s="464">
        <v>6</v>
      </c>
      <c r="J56" s="852"/>
      <c r="K56" s="382">
        <v>450000</v>
      </c>
      <c r="L56" s="489">
        <f>K56*D56</f>
        <v>2700000</v>
      </c>
      <c r="M56" s="489">
        <f>K56*G56</f>
        <v>0</v>
      </c>
      <c r="N56" s="489">
        <f>K56*H56</f>
        <v>0</v>
      </c>
      <c r="O56" s="489">
        <f>K56*I56</f>
        <v>2700000</v>
      </c>
      <c r="P56" s="489">
        <f>K56*J56</f>
        <v>0</v>
      </c>
      <c r="Q56" s="906" t="s">
        <v>4236</v>
      </c>
      <c r="R56" s="400"/>
      <c r="S56" s="400"/>
      <c r="T56" s="902">
        <f t="shared" si="6"/>
        <v>6</v>
      </c>
      <c r="U56" s="189"/>
    </row>
    <row r="57" spans="1:21" ht="30">
      <c r="A57" s="836">
        <v>50</v>
      </c>
      <c r="B57" s="463" t="s">
        <v>1901</v>
      </c>
      <c r="C57" s="463" t="s">
        <v>1902</v>
      </c>
      <c r="D57" s="464">
        <v>2</v>
      </c>
      <c r="E57" s="836" t="s">
        <v>286</v>
      </c>
      <c r="F57" s="464"/>
      <c r="G57" s="464"/>
      <c r="H57" s="464"/>
      <c r="I57" s="464">
        <v>2</v>
      </c>
      <c r="J57" s="852"/>
      <c r="K57" s="382">
        <v>510000</v>
      </c>
      <c r="L57" s="489">
        <f>K57*D57</f>
        <v>1020000</v>
      </c>
      <c r="M57" s="489">
        <f t="shared" ref="M57:M121" si="7">K57*G57</f>
        <v>0</v>
      </c>
      <c r="N57" s="489">
        <f t="shared" ref="N57:N121" si="8">K57*H57</f>
        <v>0</v>
      </c>
      <c r="O57" s="489">
        <f>K57*I57</f>
        <v>1020000</v>
      </c>
      <c r="P57" s="489">
        <f t="shared" ref="P57:P121" si="9">K57*J57</f>
        <v>0</v>
      </c>
      <c r="Q57" s="906" t="s">
        <v>4236</v>
      </c>
      <c r="R57" s="400"/>
      <c r="S57" s="400"/>
      <c r="T57" s="902">
        <f t="shared" si="6"/>
        <v>2</v>
      </c>
      <c r="U57" s="189"/>
    </row>
    <row r="58" spans="1:21">
      <c r="A58" s="1120" t="s">
        <v>2817</v>
      </c>
      <c r="B58" s="1121"/>
      <c r="C58" s="1121"/>
      <c r="D58" s="1121"/>
      <c r="E58" s="1121"/>
      <c r="F58" s="1121"/>
      <c r="G58" s="1121"/>
      <c r="H58" s="1121"/>
      <c r="I58" s="1121"/>
      <c r="J58" s="1122"/>
      <c r="K58" s="848"/>
      <c r="L58" s="853">
        <f>SUM(L56:L57)</f>
        <v>3720000</v>
      </c>
      <c r="M58" s="853">
        <f>SUM(M56:M57)</f>
        <v>0</v>
      </c>
      <c r="N58" s="853">
        <f>SUM(N56:N57)</f>
        <v>0</v>
      </c>
      <c r="O58" s="853">
        <f>SUM(O56:O57)</f>
        <v>3720000</v>
      </c>
      <c r="P58" s="853">
        <f>SUM(P56:P57)</f>
        <v>0</v>
      </c>
      <c r="Q58" s="691"/>
      <c r="R58" s="400"/>
      <c r="S58" s="400"/>
      <c r="T58" s="902">
        <f t="shared" si="6"/>
        <v>0</v>
      </c>
      <c r="U58" s="189"/>
    </row>
    <row r="59" spans="1:21">
      <c r="A59" s="1129" t="s">
        <v>2465</v>
      </c>
      <c r="B59" s="1129"/>
      <c r="C59" s="1129"/>
      <c r="D59" s="1129"/>
      <c r="E59" s="1129"/>
      <c r="F59" s="1129"/>
      <c r="G59" s="1129"/>
      <c r="H59" s="1129"/>
      <c r="I59" s="1129"/>
      <c r="J59" s="1130"/>
      <c r="K59" s="849"/>
      <c r="L59" s="381"/>
      <c r="M59" s="381"/>
      <c r="N59" s="381"/>
      <c r="O59" s="381"/>
      <c r="P59" s="381"/>
      <c r="Q59" s="461"/>
      <c r="R59" s="400"/>
      <c r="S59" s="400"/>
      <c r="T59" s="902">
        <f t="shared" si="6"/>
        <v>0</v>
      </c>
      <c r="U59" s="189"/>
    </row>
    <row r="60" spans="1:21">
      <c r="A60" s="854">
        <v>51</v>
      </c>
      <c r="B60" s="854">
        <v>96879797</v>
      </c>
      <c r="C60" s="854" t="s">
        <v>2466</v>
      </c>
      <c r="D60" s="837">
        <v>24</v>
      </c>
      <c r="E60" s="836" t="s">
        <v>286</v>
      </c>
      <c r="F60" s="854"/>
      <c r="G60" s="844">
        <v>6</v>
      </c>
      <c r="H60" s="845">
        <v>6</v>
      </c>
      <c r="I60" s="845">
        <v>6</v>
      </c>
      <c r="J60" s="846">
        <v>6</v>
      </c>
      <c r="K60" s="382">
        <v>225750</v>
      </c>
      <c r="L60" s="489">
        <f>K60*D60</f>
        <v>5418000</v>
      </c>
      <c r="M60" s="489">
        <f t="shared" si="7"/>
        <v>1354500</v>
      </c>
      <c r="N60" s="489">
        <f t="shared" si="8"/>
        <v>1354500</v>
      </c>
      <c r="O60" s="489">
        <f t="shared" ref="O60:O123" si="10">K60*I60</f>
        <v>1354500</v>
      </c>
      <c r="P60" s="489">
        <f t="shared" si="9"/>
        <v>1354500</v>
      </c>
      <c r="Q60" s="1040" t="s">
        <v>4235</v>
      </c>
      <c r="R60" s="400"/>
      <c r="S60" s="400"/>
      <c r="T60" s="902">
        <f t="shared" si="6"/>
        <v>24</v>
      </c>
      <c r="U60" s="189"/>
    </row>
    <row r="61" spans="1:21">
      <c r="A61" s="854">
        <v>52</v>
      </c>
      <c r="B61" s="854">
        <v>96444649</v>
      </c>
      <c r="C61" s="854" t="s">
        <v>2467</v>
      </c>
      <c r="D61" s="837">
        <v>24</v>
      </c>
      <c r="E61" s="836" t="s">
        <v>286</v>
      </c>
      <c r="F61" s="854"/>
      <c r="G61" s="844">
        <v>6</v>
      </c>
      <c r="H61" s="845">
        <v>6</v>
      </c>
      <c r="I61" s="845">
        <v>6</v>
      </c>
      <c r="J61" s="846">
        <v>6</v>
      </c>
      <c r="K61" s="382">
        <v>190000</v>
      </c>
      <c r="L61" s="489">
        <f t="shared" ref="L61:L124" si="11">K61*D61</f>
        <v>4560000</v>
      </c>
      <c r="M61" s="489">
        <f t="shared" si="7"/>
        <v>1140000</v>
      </c>
      <c r="N61" s="489">
        <f t="shared" si="8"/>
        <v>1140000</v>
      </c>
      <c r="O61" s="489">
        <f t="shared" si="10"/>
        <v>1140000</v>
      </c>
      <c r="P61" s="489">
        <f t="shared" si="9"/>
        <v>1140000</v>
      </c>
      <c r="Q61" s="1123"/>
      <c r="R61" s="400"/>
      <c r="S61" s="400"/>
      <c r="T61" s="902">
        <f t="shared" si="6"/>
        <v>24</v>
      </c>
      <c r="U61" s="189"/>
    </row>
    <row r="62" spans="1:21">
      <c r="A62" s="854">
        <v>53</v>
      </c>
      <c r="B62" s="854">
        <v>96553450</v>
      </c>
      <c r="C62" s="854" t="s">
        <v>2468</v>
      </c>
      <c r="D62" s="837">
        <v>18</v>
      </c>
      <c r="E62" s="836" t="s">
        <v>286</v>
      </c>
      <c r="F62" s="854"/>
      <c r="G62" s="844">
        <v>5</v>
      </c>
      <c r="H62" s="845">
        <v>5</v>
      </c>
      <c r="I62" s="845">
        <v>4</v>
      </c>
      <c r="J62" s="846">
        <v>4</v>
      </c>
      <c r="K62" s="382">
        <v>155000</v>
      </c>
      <c r="L62" s="489">
        <f t="shared" si="11"/>
        <v>2790000</v>
      </c>
      <c r="M62" s="489">
        <f t="shared" si="7"/>
        <v>775000</v>
      </c>
      <c r="N62" s="489">
        <f t="shared" si="8"/>
        <v>775000</v>
      </c>
      <c r="O62" s="489">
        <f t="shared" si="10"/>
        <v>620000</v>
      </c>
      <c r="P62" s="489">
        <f t="shared" si="9"/>
        <v>620000</v>
      </c>
      <c r="Q62" s="1123"/>
      <c r="R62" s="400"/>
      <c r="S62" s="400"/>
      <c r="T62" s="902">
        <f t="shared" si="6"/>
        <v>18</v>
      </c>
      <c r="U62" s="189"/>
    </row>
    <row r="63" spans="1:21">
      <c r="A63" s="854">
        <v>54</v>
      </c>
      <c r="B63" s="854" t="s">
        <v>2469</v>
      </c>
      <c r="C63" s="854" t="s">
        <v>2470</v>
      </c>
      <c r="D63" s="837">
        <v>8</v>
      </c>
      <c r="E63" s="836" t="s">
        <v>286</v>
      </c>
      <c r="F63" s="854"/>
      <c r="G63" s="844">
        <v>2</v>
      </c>
      <c r="H63" s="845">
        <v>2</v>
      </c>
      <c r="I63" s="845">
        <v>2</v>
      </c>
      <c r="J63" s="846">
        <v>2</v>
      </c>
      <c r="K63" s="382">
        <v>56350</v>
      </c>
      <c r="L63" s="489">
        <f t="shared" si="11"/>
        <v>450800</v>
      </c>
      <c r="M63" s="489">
        <f t="shared" si="7"/>
        <v>112700</v>
      </c>
      <c r="N63" s="489">
        <f t="shared" si="8"/>
        <v>112700</v>
      </c>
      <c r="O63" s="489">
        <f t="shared" si="10"/>
        <v>112700</v>
      </c>
      <c r="P63" s="489">
        <f t="shared" si="9"/>
        <v>112700</v>
      </c>
      <c r="Q63" s="1123"/>
      <c r="R63" s="400"/>
      <c r="S63" s="400"/>
      <c r="T63" s="902">
        <f t="shared" si="6"/>
        <v>8</v>
      </c>
      <c r="U63" s="189"/>
    </row>
    <row r="64" spans="1:21">
      <c r="A64" s="854">
        <v>55</v>
      </c>
      <c r="B64" s="854" t="s">
        <v>2471</v>
      </c>
      <c r="C64" s="854" t="s">
        <v>2472</v>
      </c>
      <c r="D64" s="837">
        <v>8</v>
      </c>
      <c r="E64" s="836" t="s">
        <v>286</v>
      </c>
      <c r="F64" s="854"/>
      <c r="G64" s="844">
        <v>2</v>
      </c>
      <c r="H64" s="845">
        <v>2</v>
      </c>
      <c r="I64" s="845">
        <v>2</v>
      </c>
      <c r="J64" s="846">
        <v>2</v>
      </c>
      <c r="K64" s="382">
        <v>86250</v>
      </c>
      <c r="L64" s="489">
        <f t="shared" si="11"/>
        <v>690000</v>
      </c>
      <c r="M64" s="489">
        <f t="shared" si="7"/>
        <v>172500</v>
      </c>
      <c r="N64" s="489">
        <f t="shared" si="8"/>
        <v>172500</v>
      </c>
      <c r="O64" s="489">
        <f t="shared" si="10"/>
        <v>172500</v>
      </c>
      <c r="P64" s="489">
        <f t="shared" si="9"/>
        <v>172500</v>
      </c>
      <c r="Q64" s="1123"/>
      <c r="R64" s="400"/>
      <c r="S64" s="400"/>
      <c r="T64" s="902">
        <f t="shared" si="6"/>
        <v>8</v>
      </c>
      <c r="U64" s="189"/>
    </row>
    <row r="65" spans="1:21">
      <c r="A65" s="854">
        <v>56</v>
      </c>
      <c r="B65" s="854" t="s">
        <v>2473</v>
      </c>
      <c r="C65" s="854" t="s">
        <v>2474</v>
      </c>
      <c r="D65" s="837">
        <v>4</v>
      </c>
      <c r="E65" s="836" t="s">
        <v>286</v>
      </c>
      <c r="F65" s="854"/>
      <c r="G65" s="844">
        <v>1</v>
      </c>
      <c r="H65" s="845">
        <v>1</v>
      </c>
      <c r="I65" s="845">
        <v>1</v>
      </c>
      <c r="J65" s="846">
        <v>1</v>
      </c>
      <c r="K65" s="382">
        <v>135000</v>
      </c>
      <c r="L65" s="489">
        <f t="shared" si="11"/>
        <v>540000</v>
      </c>
      <c r="M65" s="489">
        <f t="shared" si="7"/>
        <v>135000</v>
      </c>
      <c r="N65" s="489">
        <f t="shared" si="8"/>
        <v>135000</v>
      </c>
      <c r="O65" s="489">
        <f t="shared" si="10"/>
        <v>135000</v>
      </c>
      <c r="P65" s="489">
        <f t="shared" si="9"/>
        <v>135000</v>
      </c>
      <c r="Q65" s="1123"/>
      <c r="R65" s="400"/>
      <c r="S65" s="400"/>
      <c r="T65" s="902">
        <f t="shared" si="6"/>
        <v>4</v>
      </c>
      <c r="U65" s="189"/>
    </row>
    <row r="66" spans="1:21">
      <c r="A66" s="854">
        <v>57</v>
      </c>
      <c r="B66" s="854">
        <v>96879797</v>
      </c>
      <c r="C66" s="854" t="s">
        <v>2475</v>
      </c>
      <c r="D66" s="837">
        <v>16</v>
      </c>
      <c r="E66" s="836" t="s">
        <v>286</v>
      </c>
      <c r="F66" s="854"/>
      <c r="G66" s="844">
        <v>4</v>
      </c>
      <c r="H66" s="845">
        <v>4</v>
      </c>
      <c r="I66" s="845">
        <v>4</v>
      </c>
      <c r="J66" s="846">
        <v>4</v>
      </c>
      <c r="K66" s="382">
        <v>81250</v>
      </c>
      <c r="L66" s="489">
        <f t="shared" si="11"/>
        <v>1300000</v>
      </c>
      <c r="M66" s="489">
        <f t="shared" si="7"/>
        <v>325000</v>
      </c>
      <c r="N66" s="489">
        <f t="shared" si="8"/>
        <v>325000</v>
      </c>
      <c r="O66" s="489">
        <f t="shared" si="10"/>
        <v>325000</v>
      </c>
      <c r="P66" s="489">
        <f t="shared" si="9"/>
        <v>325000</v>
      </c>
      <c r="Q66" s="1123"/>
      <c r="R66" s="400"/>
      <c r="S66" s="400"/>
      <c r="T66" s="902">
        <f t="shared" si="6"/>
        <v>16</v>
      </c>
      <c r="U66" s="189"/>
    </row>
    <row r="67" spans="1:21" ht="30">
      <c r="A67" s="854">
        <v>58</v>
      </c>
      <c r="B67" s="854" t="s">
        <v>2476</v>
      </c>
      <c r="C67" s="854" t="s">
        <v>2477</v>
      </c>
      <c r="D67" s="837">
        <v>16</v>
      </c>
      <c r="E67" s="836" t="s">
        <v>286</v>
      </c>
      <c r="F67" s="854"/>
      <c r="G67" s="844">
        <v>4</v>
      </c>
      <c r="H67" s="845">
        <v>4</v>
      </c>
      <c r="I67" s="845">
        <v>4</v>
      </c>
      <c r="J67" s="846">
        <v>4</v>
      </c>
      <c r="K67" s="382">
        <v>44850</v>
      </c>
      <c r="L67" s="489">
        <f t="shared" si="11"/>
        <v>717600</v>
      </c>
      <c r="M67" s="489">
        <f t="shared" si="7"/>
        <v>179400</v>
      </c>
      <c r="N67" s="489">
        <f t="shared" si="8"/>
        <v>179400</v>
      </c>
      <c r="O67" s="489">
        <f t="shared" si="10"/>
        <v>179400</v>
      </c>
      <c r="P67" s="489">
        <f t="shared" si="9"/>
        <v>179400</v>
      </c>
      <c r="Q67" s="1123"/>
      <c r="R67" s="400"/>
      <c r="S67" s="400"/>
      <c r="T67" s="902">
        <f t="shared" si="6"/>
        <v>16</v>
      </c>
      <c r="U67" s="189"/>
    </row>
    <row r="68" spans="1:21" ht="30">
      <c r="A68" s="854">
        <v>59</v>
      </c>
      <c r="B68" s="854" t="s">
        <v>2478</v>
      </c>
      <c r="C68" s="854" t="s">
        <v>2479</v>
      </c>
      <c r="D68" s="837">
        <v>16</v>
      </c>
      <c r="E68" s="836" t="s">
        <v>286</v>
      </c>
      <c r="F68" s="854"/>
      <c r="G68" s="844">
        <v>4</v>
      </c>
      <c r="H68" s="845">
        <v>4</v>
      </c>
      <c r="I68" s="845">
        <v>4</v>
      </c>
      <c r="J68" s="846">
        <v>4</v>
      </c>
      <c r="K68" s="382">
        <v>84000</v>
      </c>
      <c r="L68" s="489">
        <f t="shared" si="11"/>
        <v>1344000</v>
      </c>
      <c r="M68" s="489">
        <f t="shared" si="7"/>
        <v>336000</v>
      </c>
      <c r="N68" s="489">
        <f t="shared" si="8"/>
        <v>336000</v>
      </c>
      <c r="O68" s="489">
        <f t="shared" si="10"/>
        <v>336000</v>
      </c>
      <c r="P68" s="489">
        <f t="shared" si="9"/>
        <v>336000</v>
      </c>
      <c r="Q68" s="1123"/>
      <c r="R68" s="400"/>
      <c r="S68" s="400"/>
      <c r="T68" s="902">
        <f t="shared" si="6"/>
        <v>16</v>
      </c>
      <c r="U68" s="189"/>
    </row>
    <row r="69" spans="1:21" ht="30">
      <c r="A69" s="854">
        <v>60</v>
      </c>
      <c r="B69" s="854">
        <v>9096918</v>
      </c>
      <c r="C69" s="854" t="s">
        <v>2480</v>
      </c>
      <c r="D69" s="837">
        <v>4</v>
      </c>
      <c r="E69" s="836" t="s">
        <v>286</v>
      </c>
      <c r="F69" s="854"/>
      <c r="G69" s="844">
        <v>1</v>
      </c>
      <c r="H69" s="845">
        <v>1</v>
      </c>
      <c r="I69" s="845">
        <v>1</v>
      </c>
      <c r="J69" s="846">
        <v>1</v>
      </c>
      <c r="K69" s="382">
        <v>160000</v>
      </c>
      <c r="L69" s="489">
        <f t="shared" si="11"/>
        <v>640000</v>
      </c>
      <c r="M69" s="489">
        <f t="shared" si="7"/>
        <v>160000</v>
      </c>
      <c r="N69" s="489">
        <f t="shared" si="8"/>
        <v>160000</v>
      </c>
      <c r="O69" s="489">
        <f t="shared" si="10"/>
        <v>160000</v>
      </c>
      <c r="P69" s="489">
        <f t="shared" si="9"/>
        <v>160000</v>
      </c>
      <c r="Q69" s="1123"/>
      <c r="R69" s="400"/>
      <c r="S69" s="400"/>
      <c r="T69" s="902">
        <f t="shared" ref="T69:T132" si="12">D69-S69</f>
        <v>4</v>
      </c>
      <c r="U69" s="189"/>
    </row>
    <row r="70" spans="1:21" ht="30">
      <c r="A70" s="854">
        <v>61</v>
      </c>
      <c r="B70" s="855" t="s">
        <v>2481</v>
      </c>
      <c r="C70" s="855" t="s">
        <v>2482</v>
      </c>
      <c r="D70" s="837">
        <v>8</v>
      </c>
      <c r="E70" s="836" t="s">
        <v>286</v>
      </c>
      <c r="F70" s="854"/>
      <c r="G70" s="844">
        <v>2</v>
      </c>
      <c r="H70" s="845">
        <v>2</v>
      </c>
      <c r="I70" s="845">
        <v>2</v>
      </c>
      <c r="J70" s="846">
        <v>2</v>
      </c>
      <c r="K70" s="382"/>
      <c r="L70" s="489">
        <f t="shared" si="11"/>
        <v>0</v>
      </c>
      <c r="M70" s="489">
        <f t="shared" si="7"/>
        <v>0</v>
      </c>
      <c r="N70" s="489">
        <f t="shared" si="8"/>
        <v>0</v>
      </c>
      <c r="O70" s="489">
        <f t="shared" si="10"/>
        <v>0</v>
      </c>
      <c r="P70" s="489">
        <f t="shared" si="9"/>
        <v>0</v>
      </c>
      <c r="Q70" s="1123"/>
      <c r="R70" s="400"/>
      <c r="S70" s="400"/>
      <c r="T70" s="902">
        <f t="shared" si="12"/>
        <v>8</v>
      </c>
      <c r="U70" s="189"/>
    </row>
    <row r="71" spans="1:21" ht="30">
      <c r="A71" s="854">
        <v>62</v>
      </c>
      <c r="B71" s="855" t="s">
        <v>2483</v>
      </c>
      <c r="C71" s="855" t="s">
        <v>2484</v>
      </c>
      <c r="D71" s="837">
        <v>4</v>
      </c>
      <c r="E71" s="836" t="s">
        <v>286</v>
      </c>
      <c r="F71" s="854"/>
      <c r="G71" s="844">
        <v>1</v>
      </c>
      <c r="H71" s="845">
        <v>1</v>
      </c>
      <c r="I71" s="845">
        <v>1</v>
      </c>
      <c r="J71" s="846">
        <v>1</v>
      </c>
      <c r="K71" s="382">
        <v>222500</v>
      </c>
      <c r="L71" s="489">
        <f t="shared" si="11"/>
        <v>890000</v>
      </c>
      <c r="M71" s="489">
        <f t="shared" si="7"/>
        <v>222500</v>
      </c>
      <c r="N71" s="489">
        <f t="shared" si="8"/>
        <v>222500</v>
      </c>
      <c r="O71" s="489">
        <f t="shared" si="10"/>
        <v>222500</v>
      </c>
      <c r="P71" s="489">
        <f t="shared" si="9"/>
        <v>222500</v>
      </c>
      <c r="Q71" s="1123"/>
      <c r="R71" s="400"/>
      <c r="S71" s="400"/>
      <c r="T71" s="902">
        <f t="shared" si="12"/>
        <v>4</v>
      </c>
      <c r="U71" s="189"/>
    </row>
    <row r="72" spans="1:21" ht="45">
      <c r="A72" s="854">
        <v>63</v>
      </c>
      <c r="B72" s="855" t="s">
        <v>2485</v>
      </c>
      <c r="C72" s="855" t="s">
        <v>2486</v>
      </c>
      <c r="D72" s="837">
        <v>12</v>
      </c>
      <c r="E72" s="836" t="s">
        <v>286</v>
      </c>
      <c r="F72" s="854"/>
      <c r="G72" s="844">
        <v>3</v>
      </c>
      <c r="H72" s="845">
        <v>3</v>
      </c>
      <c r="I72" s="845">
        <v>3</v>
      </c>
      <c r="J72" s="846">
        <v>3</v>
      </c>
      <c r="K72" s="382">
        <v>271250</v>
      </c>
      <c r="L72" s="489">
        <f t="shared" si="11"/>
        <v>3255000</v>
      </c>
      <c r="M72" s="489">
        <f t="shared" si="7"/>
        <v>813750</v>
      </c>
      <c r="N72" s="489">
        <f t="shared" si="8"/>
        <v>813750</v>
      </c>
      <c r="O72" s="489">
        <f t="shared" si="10"/>
        <v>813750</v>
      </c>
      <c r="P72" s="489">
        <f t="shared" si="9"/>
        <v>813750</v>
      </c>
      <c r="Q72" s="1123"/>
      <c r="R72" s="400"/>
      <c r="S72" s="400"/>
      <c r="T72" s="902">
        <f t="shared" si="12"/>
        <v>12</v>
      </c>
      <c r="U72" s="189"/>
    </row>
    <row r="73" spans="1:21" ht="30">
      <c r="A73" s="854">
        <v>64</v>
      </c>
      <c r="B73" s="855" t="s">
        <v>2487</v>
      </c>
      <c r="C73" s="855" t="s">
        <v>2488</v>
      </c>
      <c r="D73" s="837">
        <v>4</v>
      </c>
      <c r="E73" s="836" t="s">
        <v>286</v>
      </c>
      <c r="F73" s="854"/>
      <c r="G73" s="844">
        <v>1</v>
      </c>
      <c r="H73" s="845">
        <v>1</v>
      </c>
      <c r="I73" s="845">
        <v>1</v>
      </c>
      <c r="J73" s="846">
        <v>1</v>
      </c>
      <c r="K73" s="382">
        <v>187500</v>
      </c>
      <c r="L73" s="489">
        <f t="shared" si="11"/>
        <v>750000</v>
      </c>
      <c r="M73" s="489">
        <f t="shared" si="7"/>
        <v>187500</v>
      </c>
      <c r="N73" s="489">
        <f t="shared" si="8"/>
        <v>187500</v>
      </c>
      <c r="O73" s="489">
        <f t="shared" si="10"/>
        <v>187500</v>
      </c>
      <c r="P73" s="489">
        <f t="shared" si="9"/>
        <v>187500</v>
      </c>
      <c r="Q73" s="1123"/>
      <c r="R73" s="400"/>
      <c r="S73" s="400"/>
      <c r="T73" s="902">
        <f t="shared" si="12"/>
        <v>4</v>
      </c>
      <c r="U73" s="189"/>
    </row>
    <row r="74" spans="1:21" ht="30">
      <c r="A74" s="854">
        <v>65</v>
      </c>
      <c r="B74" s="855" t="s">
        <v>2489</v>
      </c>
      <c r="C74" s="855" t="s">
        <v>2488</v>
      </c>
      <c r="D74" s="837">
        <v>4</v>
      </c>
      <c r="E74" s="836" t="s">
        <v>286</v>
      </c>
      <c r="F74" s="854"/>
      <c r="G74" s="844">
        <v>1</v>
      </c>
      <c r="H74" s="845">
        <v>1</v>
      </c>
      <c r="I74" s="845">
        <v>1</v>
      </c>
      <c r="J74" s="846">
        <v>1</v>
      </c>
      <c r="K74" s="382"/>
      <c r="L74" s="489">
        <f t="shared" si="11"/>
        <v>0</v>
      </c>
      <c r="M74" s="489">
        <f t="shared" si="7"/>
        <v>0</v>
      </c>
      <c r="N74" s="489">
        <f t="shared" si="8"/>
        <v>0</v>
      </c>
      <c r="O74" s="489">
        <f t="shared" si="10"/>
        <v>0</v>
      </c>
      <c r="P74" s="489">
        <f t="shared" si="9"/>
        <v>0</v>
      </c>
      <c r="Q74" s="1123"/>
      <c r="R74" s="400"/>
      <c r="S74" s="400"/>
      <c r="T74" s="902">
        <f t="shared" si="12"/>
        <v>4</v>
      </c>
      <c r="U74" s="189"/>
    </row>
    <row r="75" spans="1:21" ht="30">
      <c r="A75" s="854">
        <v>66</v>
      </c>
      <c r="B75" s="855" t="s">
        <v>2490</v>
      </c>
      <c r="C75" s="855" t="s">
        <v>2491</v>
      </c>
      <c r="D75" s="837">
        <v>4</v>
      </c>
      <c r="E75" s="836" t="s">
        <v>286</v>
      </c>
      <c r="F75" s="854"/>
      <c r="G75" s="844">
        <v>1</v>
      </c>
      <c r="H75" s="845">
        <v>1</v>
      </c>
      <c r="I75" s="845">
        <v>1</v>
      </c>
      <c r="J75" s="846">
        <v>1</v>
      </c>
      <c r="K75" s="382"/>
      <c r="L75" s="489">
        <f t="shared" si="11"/>
        <v>0</v>
      </c>
      <c r="M75" s="489">
        <f t="shared" si="7"/>
        <v>0</v>
      </c>
      <c r="N75" s="489">
        <f t="shared" si="8"/>
        <v>0</v>
      </c>
      <c r="O75" s="489">
        <f t="shared" si="10"/>
        <v>0</v>
      </c>
      <c r="P75" s="489">
        <f t="shared" si="9"/>
        <v>0</v>
      </c>
      <c r="Q75" s="1123"/>
      <c r="R75" s="400"/>
      <c r="S75" s="400"/>
      <c r="T75" s="902">
        <f t="shared" si="12"/>
        <v>4</v>
      </c>
      <c r="U75" s="189"/>
    </row>
    <row r="76" spans="1:21" ht="30">
      <c r="A76" s="854">
        <v>67</v>
      </c>
      <c r="B76" s="854" t="s">
        <v>2492</v>
      </c>
      <c r="C76" s="854" t="s">
        <v>2493</v>
      </c>
      <c r="D76" s="837">
        <v>56</v>
      </c>
      <c r="E76" s="836" t="s">
        <v>286</v>
      </c>
      <c r="F76" s="854"/>
      <c r="G76" s="844">
        <v>14</v>
      </c>
      <c r="H76" s="845">
        <v>14</v>
      </c>
      <c r="I76" s="845">
        <v>14</v>
      </c>
      <c r="J76" s="846">
        <v>14</v>
      </c>
      <c r="K76" s="382">
        <v>132000</v>
      </c>
      <c r="L76" s="489">
        <f t="shared" si="11"/>
        <v>7392000</v>
      </c>
      <c r="M76" s="489">
        <f t="shared" si="7"/>
        <v>1848000</v>
      </c>
      <c r="N76" s="489">
        <f t="shared" si="8"/>
        <v>1848000</v>
      </c>
      <c r="O76" s="489">
        <f t="shared" si="10"/>
        <v>1848000</v>
      </c>
      <c r="P76" s="489">
        <f t="shared" si="9"/>
        <v>1848000</v>
      </c>
      <c r="Q76" s="1123"/>
      <c r="R76" s="400"/>
      <c r="S76" s="400"/>
      <c r="T76" s="902">
        <f t="shared" si="12"/>
        <v>56</v>
      </c>
      <c r="U76" s="189"/>
    </row>
    <row r="77" spans="1:21" ht="30">
      <c r="A77" s="854">
        <v>68</v>
      </c>
      <c r="B77" s="854" t="s">
        <v>2494</v>
      </c>
      <c r="C77" s="854" t="s">
        <v>2495</v>
      </c>
      <c r="D77" s="837">
        <v>48</v>
      </c>
      <c r="E77" s="836" t="s">
        <v>286</v>
      </c>
      <c r="F77" s="854"/>
      <c r="G77" s="844">
        <v>14</v>
      </c>
      <c r="H77" s="845">
        <v>14</v>
      </c>
      <c r="I77" s="845">
        <v>10</v>
      </c>
      <c r="J77" s="846">
        <v>10</v>
      </c>
      <c r="K77" s="382">
        <v>115000</v>
      </c>
      <c r="L77" s="489">
        <f t="shared" si="11"/>
        <v>5520000</v>
      </c>
      <c r="M77" s="489">
        <f t="shared" si="7"/>
        <v>1610000</v>
      </c>
      <c r="N77" s="489">
        <f t="shared" si="8"/>
        <v>1610000</v>
      </c>
      <c r="O77" s="489">
        <f t="shared" si="10"/>
        <v>1150000</v>
      </c>
      <c r="P77" s="489">
        <f t="shared" si="9"/>
        <v>1150000</v>
      </c>
      <c r="Q77" s="1123"/>
      <c r="R77" s="400"/>
      <c r="S77" s="400"/>
      <c r="T77" s="902">
        <f t="shared" si="12"/>
        <v>48</v>
      </c>
      <c r="U77" s="189"/>
    </row>
    <row r="78" spans="1:21" ht="30">
      <c r="A78" s="854">
        <v>69</v>
      </c>
      <c r="B78" s="854" t="s">
        <v>2496</v>
      </c>
      <c r="C78" s="854" t="s">
        <v>2497</v>
      </c>
      <c r="D78" s="837">
        <v>44</v>
      </c>
      <c r="E78" s="836" t="s">
        <v>286</v>
      </c>
      <c r="F78" s="854"/>
      <c r="G78" s="844">
        <v>13</v>
      </c>
      <c r="H78" s="845">
        <v>13</v>
      </c>
      <c r="I78" s="845">
        <v>9</v>
      </c>
      <c r="J78" s="846">
        <v>9</v>
      </c>
      <c r="K78" s="382">
        <v>165000</v>
      </c>
      <c r="L78" s="489">
        <f t="shared" si="11"/>
        <v>7260000</v>
      </c>
      <c r="M78" s="489">
        <f t="shared" si="7"/>
        <v>2145000</v>
      </c>
      <c r="N78" s="489">
        <f t="shared" si="8"/>
        <v>2145000</v>
      </c>
      <c r="O78" s="489">
        <f t="shared" si="10"/>
        <v>1485000</v>
      </c>
      <c r="P78" s="489">
        <f t="shared" si="9"/>
        <v>1485000</v>
      </c>
      <c r="Q78" s="1123"/>
      <c r="R78" s="400"/>
      <c r="S78" s="400"/>
      <c r="T78" s="902">
        <f t="shared" si="12"/>
        <v>44</v>
      </c>
      <c r="U78" s="189"/>
    </row>
    <row r="79" spans="1:21" ht="30">
      <c r="A79" s="854">
        <v>70</v>
      </c>
      <c r="B79" s="854" t="s">
        <v>2498</v>
      </c>
      <c r="C79" s="854" t="s">
        <v>2499</v>
      </c>
      <c r="D79" s="837">
        <v>48</v>
      </c>
      <c r="E79" s="836" t="s">
        <v>286</v>
      </c>
      <c r="F79" s="854"/>
      <c r="G79" s="844">
        <v>12</v>
      </c>
      <c r="H79" s="845">
        <v>12</v>
      </c>
      <c r="I79" s="845">
        <v>12</v>
      </c>
      <c r="J79" s="846">
        <v>12</v>
      </c>
      <c r="K79" s="382">
        <v>126500</v>
      </c>
      <c r="L79" s="489">
        <f t="shared" si="11"/>
        <v>6072000</v>
      </c>
      <c r="M79" s="489">
        <f t="shared" si="7"/>
        <v>1518000</v>
      </c>
      <c r="N79" s="489">
        <f t="shared" si="8"/>
        <v>1518000</v>
      </c>
      <c r="O79" s="489">
        <f t="shared" si="10"/>
        <v>1518000</v>
      </c>
      <c r="P79" s="489">
        <f t="shared" si="9"/>
        <v>1518000</v>
      </c>
      <c r="Q79" s="1123"/>
      <c r="R79" s="400"/>
      <c r="S79" s="400"/>
      <c r="T79" s="902">
        <f t="shared" si="12"/>
        <v>48</v>
      </c>
      <c r="U79" s="189"/>
    </row>
    <row r="80" spans="1:21" ht="30">
      <c r="A80" s="854">
        <v>71</v>
      </c>
      <c r="B80" s="854" t="s">
        <v>2500</v>
      </c>
      <c r="C80" s="854" t="s">
        <v>2501</v>
      </c>
      <c r="D80" s="837">
        <v>48</v>
      </c>
      <c r="E80" s="836" t="s">
        <v>286</v>
      </c>
      <c r="F80" s="854"/>
      <c r="G80" s="844">
        <v>12</v>
      </c>
      <c r="H80" s="845">
        <v>12</v>
      </c>
      <c r="I80" s="845">
        <v>12</v>
      </c>
      <c r="J80" s="846">
        <v>12</v>
      </c>
      <c r="K80" s="382">
        <v>75000</v>
      </c>
      <c r="L80" s="489">
        <f t="shared" si="11"/>
        <v>3600000</v>
      </c>
      <c r="M80" s="489">
        <f t="shared" si="7"/>
        <v>900000</v>
      </c>
      <c r="N80" s="489">
        <f t="shared" si="8"/>
        <v>900000</v>
      </c>
      <c r="O80" s="489">
        <f t="shared" si="10"/>
        <v>900000</v>
      </c>
      <c r="P80" s="489">
        <f t="shared" si="9"/>
        <v>900000</v>
      </c>
      <c r="Q80" s="1123"/>
      <c r="R80" s="400"/>
      <c r="S80" s="400"/>
      <c r="T80" s="902">
        <f t="shared" si="12"/>
        <v>48</v>
      </c>
      <c r="U80" s="189"/>
    </row>
    <row r="81" spans="1:21" ht="30">
      <c r="A81" s="854">
        <v>72</v>
      </c>
      <c r="B81" s="854" t="s">
        <v>2502</v>
      </c>
      <c r="C81" s="854" t="s">
        <v>2501</v>
      </c>
      <c r="D81" s="837">
        <v>48</v>
      </c>
      <c r="E81" s="836" t="s">
        <v>286</v>
      </c>
      <c r="F81" s="854"/>
      <c r="G81" s="844">
        <v>12</v>
      </c>
      <c r="H81" s="845">
        <v>12</v>
      </c>
      <c r="I81" s="845">
        <v>12</v>
      </c>
      <c r="J81" s="846">
        <v>12</v>
      </c>
      <c r="K81" s="382">
        <v>45000</v>
      </c>
      <c r="L81" s="489">
        <f t="shared" si="11"/>
        <v>2160000</v>
      </c>
      <c r="M81" s="489">
        <f t="shared" si="7"/>
        <v>540000</v>
      </c>
      <c r="N81" s="489">
        <f t="shared" si="8"/>
        <v>540000</v>
      </c>
      <c r="O81" s="489">
        <f t="shared" si="10"/>
        <v>540000</v>
      </c>
      <c r="P81" s="489">
        <f t="shared" si="9"/>
        <v>540000</v>
      </c>
      <c r="Q81" s="1123"/>
      <c r="R81" s="400"/>
      <c r="S81" s="400"/>
      <c r="T81" s="902">
        <f t="shared" si="12"/>
        <v>48</v>
      </c>
      <c r="U81" s="189"/>
    </row>
    <row r="82" spans="1:21" ht="30">
      <c r="A82" s="854">
        <v>73</v>
      </c>
      <c r="B82" s="854">
        <v>8980714230</v>
      </c>
      <c r="C82" s="854" t="s">
        <v>2503</v>
      </c>
      <c r="D82" s="837">
        <v>24</v>
      </c>
      <c r="E82" s="836" t="s">
        <v>286</v>
      </c>
      <c r="F82" s="854"/>
      <c r="G82" s="844">
        <v>6</v>
      </c>
      <c r="H82" s="845">
        <v>6</v>
      </c>
      <c r="I82" s="845">
        <v>6</v>
      </c>
      <c r="J82" s="846">
        <v>6</v>
      </c>
      <c r="K82" s="382">
        <v>245000</v>
      </c>
      <c r="L82" s="489">
        <f t="shared" si="11"/>
        <v>5880000</v>
      </c>
      <c r="M82" s="489">
        <f t="shared" si="7"/>
        <v>1470000</v>
      </c>
      <c r="N82" s="489">
        <f t="shared" si="8"/>
        <v>1470000</v>
      </c>
      <c r="O82" s="489">
        <f t="shared" si="10"/>
        <v>1470000</v>
      </c>
      <c r="P82" s="489">
        <f t="shared" si="9"/>
        <v>1470000</v>
      </c>
      <c r="Q82" s="1123"/>
      <c r="R82" s="400"/>
      <c r="S82" s="400"/>
      <c r="T82" s="902">
        <f t="shared" si="12"/>
        <v>24</v>
      </c>
      <c r="U82" s="189"/>
    </row>
    <row r="83" spans="1:21" ht="30">
      <c r="A83" s="854">
        <v>74</v>
      </c>
      <c r="B83" s="854">
        <v>8980714240</v>
      </c>
      <c r="C83" s="854" t="s">
        <v>2503</v>
      </c>
      <c r="D83" s="837">
        <v>24</v>
      </c>
      <c r="E83" s="836" t="s">
        <v>286</v>
      </c>
      <c r="F83" s="854"/>
      <c r="G83" s="844">
        <v>6</v>
      </c>
      <c r="H83" s="845">
        <v>6</v>
      </c>
      <c r="I83" s="845">
        <v>6</v>
      </c>
      <c r="J83" s="846">
        <v>6</v>
      </c>
      <c r="K83" s="382">
        <v>210000</v>
      </c>
      <c r="L83" s="489">
        <f t="shared" si="11"/>
        <v>5040000</v>
      </c>
      <c r="M83" s="489">
        <f t="shared" si="7"/>
        <v>1260000</v>
      </c>
      <c r="N83" s="489">
        <f t="shared" si="8"/>
        <v>1260000</v>
      </c>
      <c r="O83" s="489">
        <f t="shared" si="10"/>
        <v>1260000</v>
      </c>
      <c r="P83" s="489">
        <f t="shared" si="9"/>
        <v>1260000</v>
      </c>
      <c r="Q83" s="1123"/>
      <c r="R83" s="400"/>
      <c r="S83" s="400"/>
      <c r="T83" s="902">
        <f t="shared" si="12"/>
        <v>24</v>
      </c>
      <c r="U83" s="189"/>
    </row>
    <row r="84" spans="1:21" ht="30">
      <c r="A84" s="854">
        <v>75</v>
      </c>
      <c r="B84" s="854" t="s">
        <v>2504</v>
      </c>
      <c r="C84" s="854" t="s">
        <v>2505</v>
      </c>
      <c r="D84" s="837">
        <v>8</v>
      </c>
      <c r="E84" s="836" t="s">
        <v>286</v>
      </c>
      <c r="F84" s="854"/>
      <c r="G84" s="844">
        <v>2</v>
      </c>
      <c r="H84" s="845">
        <v>2</v>
      </c>
      <c r="I84" s="845">
        <v>2</v>
      </c>
      <c r="J84" s="846">
        <v>2</v>
      </c>
      <c r="K84" s="382">
        <v>105000</v>
      </c>
      <c r="L84" s="489">
        <f t="shared" si="11"/>
        <v>840000</v>
      </c>
      <c r="M84" s="489">
        <f t="shared" si="7"/>
        <v>210000</v>
      </c>
      <c r="N84" s="489">
        <f t="shared" si="8"/>
        <v>210000</v>
      </c>
      <c r="O84" s="489">
        <f t="shared" si="10"/>
        <v>210000</v>
      </c>
      <c r="P84" s="489">
        <f t="shared" si="9"/>
        <v>210000</v>
      </c>
      <c r="Q84" s="1123"/>
      <c r="R84" s="400"/>
      <c r="S84" s="400"/>
      <c r="T84" s="902">
        <f t="shared" si="12"/>
        <v>8</v>
      </c>
      <c r="U84" s="189"/>
    </row>
    <row r="85" spans="1:21" ht="30">
      <c r="A85" s="854">
        <v>76</v>
      </c>
      <c r="B85" s="854" t="s">
        <v>2506</v>
      </c>
      <c r="C85" s="854" t="s">
        <v>2507</v>
      </c>
      <c r="D85" s="837">
        <v>16</v>
      </c>
      <c r="E85" s="836" t="s">
        <v>286</v>
      </c>
      <c r="F85" s="854"/>
      <c r="G85" s="844">
        <v>4</v>
      </c>
      <c r="H85" s="845">
        <v>4</v>
      </c>
      <c r="I85" s="845">
        <v>4</v>
      </c>
      <c r="J85" s="846">
        <v>4</v>
      </c>
      <c r="K85" s="382">
        <v>62000</v>
      </c>
      <c r="L85" s="489">
        <f t="shared" si="11"/>
        <v>992000</v>
      </c>
      <c r="M85" s="489">
        <f t="shared" si="7"/>
        <v>248000</v>
      </c>
      <c r="N85" s="489">
        <f t="shared" si="8"/>
        <v>248000</v>
      </c>
      <c r="O85" s="489">
        <f t="shared" si="10"/>
        <v>248000</v>
      </c>
      <c r="P85" s="489">
        <f t="shared" si="9"/>
        <v>248000</v>
      </c>
      <c r="Q85" s="1123"/>
      <c r="R85" s="400"/>
      <c r="S85" s="400"/>
      <c r="T85" s="902">
        <f t="shared" si="12"/>
        <v>16</v>
      </c>
      <c r="U85" s="189"/>
    </row>
    <row r="86" spans="1:21" ht="30">
      <c r="A86" s="854">
        <v>77</v>
      </c>
      <c r="B86" s="854" t="s">
        <v>2508</v>
      </c>
      <c r="C86" s="854" t="s">
        <v>2509</v>
      </c>
      <c r="D86" s="837">
        <v>4</v>
      </c>
      <c r="E86" s="836" t="s">
        <v>286</v>
      </c>
      <c r="F86" s="854"/>
      <c r="G86" s="844">
        <v>1</v>
      </c>
      <c r="H86" s="845">
        <v>1</v>
      </c>
      <c r="I86" s="845">
        <v>1</v>
      </c>
      <c r="J86" s="846">
        <v>1</v>
      </c>
      <c r="K86" s="382">
        <v>115000</v>
      </c>
      <c r="L86" s="489">
        <f t="shared" si="11"/>
        <v>460000</v>
      </c>
      <c r="M86" s="489">
        <f t="shared" si="7"/>
        <v>115000</v>
      </c>
      <c r="N86" s="489">
        <f t="shared" si="8"/>
        <v>115000</v>
      </c>
      <c r="O86" s="489">
        <f t="shared" si="10"/>
        <v>115000</v>
      </c>
      <c r="P86" s="489">
        <f t="shared" si="9"/>
        <v>115000</v>
      </c>
      <c r="Q86" s="1123"/>
      <c r="R86" s="400"/>
      <c r="S86" s="400"/>
      <c r="T86" s="902">
        <f t="shared" si="12"/>
        <v>4</v>
      </c>
      <c r="U86" s="189"/>
    </row>
    <row r="87" spans="1:21" ht="30">
      <c r="A87" s="854">
        <v>78</v>
      </c>
      <c r="B87" s="854" t="s">
        <v>2504</v>
      </c>
      <c r="C87" s="854" t="s">
        <v>2510</v>
      </c>
      <c r="D87" s="837">
        <v>8</v>
      </c>
      <c r="E87" s="836" t="s">
        <v>286</v>
      </c>
      <c r="F87" s="854"/>
      <c r="G87" s="844">
        <v>2</v>
      </c>
      <c r="H87" s="845">
        <v>2</v>
      </c>
      <c r="I87" s="845">
        <v>2</v>
      </c>
      <c r="J87" s="846">
        <v>2</v>
      </c>
      <c r="K87" s="382">
        <v>103000</v>
      </c>
      <c r="L87" s="489">
        <f t="shared" si="11"/>
        <v>824000</v>
      </c>
      <c r="M87" s="489">
        <f t="shared" si="7"/>
        <v>206000</v>
      </c>
      <c r="N87" s="489">
        <f t="shared" si="8"/>
        <v>206000</v>
      </c>
      <c r="O87" s="489">
        <f t="shared" si="10"/>
        <v>206000</v>
      </c>
      <c r="P87" s="489">
        <f t="shared" si="9"/>
        <v>206000</v>
      </c>
      <c r="Q87" s="1123"/>
      <c r="R87" s="400"/>
      <c r="S87" s="400"/>
      <c r="T87" s="902">
        <f t="shared" si="12"/>
        <v>8</v>
      </c>
      <c r="U87" s="189"/>
    </row>
    <row r="88" spans="1:21" ht="30">
      <c r="A88" s="854">
        <v>79</v>
      </c>
      <c r="B88" s="854" t="s">
        <v>2506</v>
      </c>
      <c r="C88" s="854" t="s">
        <v>2511</v>
      </c>
      <c r="D88" s="837">
        <v>16</v>
      </c>
      <c r="E88" s="836" t="s">
        <v>286</v>
      </c>
      <c r="F88" s="854"/>
      <c r="G88" s="844">
        <v>4</v>
      </c>
      <c r="H88" s="845">
        <v>4</v>
      </c>
      <c r="I88" s="845">
        <v>4</v>
      </c>
      <c r="J88" s="846">
        <v>4</v>
      </c>
      <c r="K88" s="382">
        <v>60000</v>
      </c>
      <c r="L88" s="489">
        <f t="shared" si="11"/>
        <v>960000</v>
      </c>
      <c r="M88" s="489">
        <f t="shared" si="7"/>
        <v>240000</v>
      </c>
      <c r="N88" s="489">
        <f t="shared" si="8"/>
        <v>240000</v>
      </c>
      <c r="O88" s="489">
        <f t="shared" si="10"/>
        <v>240000</v>
      </c>
      <c r="P88" s="489">
        <f t="shared" si="9"/>
        <v>240000</v>
      </c>
      <c r="Q88" s="1123"/>
      <c r="R88" s="400"/>
      <c r="S88" s="400"/>
      <c r="T88" s="902">
        <f t="shared" si="12"/>
        <v>16</v>
      </c>
      <c r="U88" s="189"/>
    </row>
    <row r="89" spans="1:21" ht="30">
      <c r="A89" s="854">
        <v>80</v>
      </c>
      <c r="B89" s="854" t="s">
        <v>2508</v>
      </c>
      <c r="C89" s="854" t="s">
        <v>2512</v>
      </c>
      <c r="D89" s="837">
        <v>4</v>
      </c>
      <c r="E89" s="836" t="s">
        <v>286</v>
      </c>
      <c r="F89" s="854"/>
      <c r="G89" s="844">
        <v>1</v>
      </c>
      <c r="H89" s="845">
        <v>1</v>
      </c>
      <c r="I89" s="845">
        <v>1</v>
      </c>
      <c r="J89" s="846">
        <v>1</v>
      </c>
      <c r="K89" s="382">
        <v>122000</v>
      </c>
      <c r="L89" s="489">
        <f t="shared" si="11"/>
        <v>488000</v>
      </c>
      <c r="M89" s="489">
        <f t="shared" si="7"/>
        <v>122000</v>
      </c>
      <c r="N89" s="489">
        <f t="shared" si="8"/>
        <v>122000</v>
      </c>
      <c r="O89" s="489">
        <f t="shared" si="10"/>
        <v>122000</v>
      </c>
      <c r="P89" s="489">
        <f t="shared" si="9"/>
        <v>122000</v>
      </c>
      <c r="Q89" s="1123"/>
      <c r="R89" s="400"/>
      <c r="S89" s="400"/>
      <c r="T89" s="902">
        <f t="shared" si="12"/>
        <v>4</v>
      </c>
      <c r="U89" s="189"/>
    </row>
    <row r="90" spans="1:21" ht="30">
      <c r="A90" s="854">
        <v>81</v>
      </c>
      <c r="B90" s="854" t="s">
        <v>2504</v>
      </c>
      <c r="C90" s="854" t="s">
        <v>2513</v>
      </c>
      <c r="D90" s="837">
        <v>48</v>
      </c>
      <c r="E90" s="836" t="s">
        <v>286</v>
      </c>
      <c r="F90" s="854"/>
      <c r="G90" s="844">
        <v>12</v>
      </c>
      <c r="H90" s="845">
        <v>12</v>
      </c>
      <c r="I90" s="845">
        <v>12</v>
      </c>
      <c r="J90" s="846">
        <v>12</v>
      </c>
      <c r="K90" s="382">
        <v>103000</v>
      </c>
      <c r="L90" s="489">
        <f t="shared" si="11"/>
        <v>4944000</v>
      </c>
      <c r="M90" s="489">
        <f t="shared" si="7"/>
        <v>1236000</v>
      </c>
      <c r="N90" s="489">
        <f t="shared" si="8"/>
        <v>1236000</v>
      </c>
      <c r="O90" s="489">
        <f t="shared" si="10"/>
        <v>1236000</v>
      </c>
      <c r="P90" s="489">
        <f t="shared" si="9"/>
        <v>1236000</v>
      </c>
      <c r="Q90" s="1123"/>
      <c r="R90" s="400"/>
      <c r="S90" s="400"/>
      <c r="T90" s="902">
        <f t="shared" si="12"/>
        <v>48</v>
      </c>
      <c r="U90" s="189"/>
    </row>
    <row r="91" spans="1:21" ht="30">
      <c r="A91" s="854">
        <v>82</v>
      </c>
      <c r="B91" s="854" t="s">
        <v>2506</v>
      </c>
      <c r="C91" s="854" t="s">
        <v>2514</v>
      </c>
      <c r="D91" s="837">
        <v>96</v>
      </c>
      <c r="E91" s="836" t="s">
        <v>286</v>
      </c>
      <c r="F91" s="854"/>
      <c r="G91" s="844">
        <v>24</v>
      </c>
      <c r="H91" s="845">
        <v>24</v>
      </c>
      <c r="I91" s="845">
        <v>24</v>
      </c>
      <c r="J91" s="846">
        <v>24</v>
      </c>
      <c r="K91" s="382">
        <v>141000</v>
      </c>
      <c r="L91" s="489">
        <f t="shared" si="11"/>
        <v>13536000</v>
      </c>
      <c r="M91" s="489">
        <f t="shared" si="7"/>
        <v>3384000</v>
      </c>
      <c r="N91" s="489">
        <f t="shared" si="8"/>
        <v>3384000</v>
      </c>
      <c r="O91" s="489">
        <f t="shared" si="10"/>
        <v>3384000</v>
      </c>
      <c r="P91" s="489">
        <f t="shared" si="9"/>
        <v>3384000</v>
      </c>
      <c r="Q91" s="1123"/>
      <c r="R91" s="400"/>
      <c r="S91" s="400"/>
      <c r="T91" s="902">
        <f t="shared" si="12"/>
        <v>96</v>
      </c>
      <c r="U91" s="189"/>
    </row>
    <row r="92" spans="1:21" ht="30">
      <c r="A92" s="854">
        <v>83</v>
      </c>
      <c r="B92" s="854" t="s">
        <v>2508</v>
      </c>
      <c r="C92" s="854" t="s">
        <v>2515</v>
      </c>
      <c r="D92" s="837">
        <v>24</v>
      </c>
      <c r="E92" s="836" t="s">
        <v>286</v>
      </c>
      <c r="F92" s="854"/>
      <c r="G92" s="844">
        <v>6</v>
      </c>
      <c r="H92" s="845">
        <v>6</v>
      </c>
      <c r="I92" s="845">
        <v>6</v>
      </c>
      <c r="J92" s="846">
        <v>6</v>
      </c>
      <c r="K92" s="382">
        <v>122000</v>
      </c>
      <c r="L92" s="489">
        <f t="shared" si="11"/>
        <v>2928000</v>
      </c>
      <c r="M92" s="489">
        <f t="shared" si="7"/>
        <v>732000</v>
      </c>
      <c r="N92" s="489">
        <f t="shared" si="8"/>
        <v>732000</v>
      </c>
      <c r="O92" s="489">
        <f t="shared" si="10"/>
        <v>732000</v>
      </c>
      <c r="P92" s="489">
        <f t="shared" si="9"/>
        <v>732000</v>
      </c>
      <c r="Q92" s="1123"/>
      <c r="R92" s="400"/>
      <c r="S92" s="400"/>
      <c r="T92" s="902">
        <f t="shared" si="12"/>
        <v>24</v>
      </c>
      <c r="U92" s="189"/>
    </row>
    <row r="93" spans="1:21" ht="30">
      <c r="A93" s="854">
        <v>84</v>
      </c>
      <c r="B93" s="854" t="s">
        <v>2504</v>
      </c>
      <c r="C93" s="854" t="s">
        <v>2516</v>
      </c>
      <c r="D93" s="837">
        <v>8</v>
      </c>
      <c r="E93" s="836" t="s">
        <v>286</v>
      </c>
      <c r="F93" s="854"/>
      <c r="G93" s="844">
        <v>2</v>
      </c>
      <c r="H93" s="845">
        <v>2</v>
      </c>
      <c r="I93" s="845">
        <v>2</v>
      </c>
      <c r="J93" s="846">
        <v>2</v>
      </c>
      <c r="K93" s="382">
        <v>105000</v>
      </c>
      <c r="L93" s="489">
        <f t="shared" si="11"/>
        <v>840000</v>
      </c>
      <c r="M93" s="489">
        <f t="shared" si="7"/>
        <v>210000</v>
      </c>
      <c r="N93" s="489">
        <f t="shared" si="8"/>
        <v>210000</v>
      </c>
      <c r="O93" s="489">
        <f t="shared" si="10"/>
        <v>210000</v>
      </c>
      <c r="P93" s="489">
        <f t="shared" si="9"/>
        <v>210000</v>
      </c>
      <c r="Q93" s="1123"/>
      <c r="R93" s="400"/>
      <c r="S93" s="400"/>
      <c r="T93" s="902">
        <f t="shared" si="12"/>
        <v>8</v>
      </c>
      <c r="U93" s="189"/>
    </row>
    <row r="94" spans="1:21" ht="30">
      <c r="A94" s="854">
        <v>85</v>
      </c>
      <c r="B94" s="854" t="s">
        <v>2506</v>
      </c>
      <c r="C94" s="854" t="s">
        <v>2517</v>
      </c>
      <c r="D94" s="837">
        <v>16</v>
      </c>
      <c r="E94" s="836" t="s">
        <v>286</v>
      </c>
      <c r="F94" s="854"/>
      <c r="G94" s="844">
        <v>4</v>
      </c>
      <c r="H94" s="845">
        <v>4</v>
      </c>
      <c r="I94" s="845">
        <v>4</v>
      </c>
      <c r="J94" s="846">
        <v>4</v>
      </c>
      <c r="K94" s="382">
        <v>65500</v>
      </c>
      <c r="L94" s="489">
        <f t="shared" si="11"/>
        <v>1048000</v>
      </c>
      <c r="M94" s="489">
        <f t="shared" si="7"/>
        <v>262000</v>
      </c>
      <c r="N94" s="489">
        <f t="shared" si="8"/>
        <v>262000</v>
      </c>
      <c r="O94" s="489">
        <f t="shared" si="10"/>
        <v>262000</v>
      </c>
      <c r="P94" s="489">
        <f t="shared" si="9"/>
        <v>262000</v>
      </c>
      <c r="Q94" s="1123"/>
      <c r="R94" s="400"/>
      <c r="S94" s="400"/>
      <c r="T94" s="902">
        <f t="shared" si="12"/>
        <v>16</v>
      </c>
      <c r="U94" s="189"/>
    </row>
    <row r="95" spans="1:21" ht="30">
      <c r="A95" s="854">
        <v>86</v>
      </c>
      <c r="B95" s="854" t="s">
        <v>2508</v>
      </c>
      <c r="C95" s="854" t="s">
        <v>2518</v>
      </c>
      <c r="D95" s="837">
        <v>4</v>
      </c>
      <c r="E95" s="836" t="s">
        <v>286</v>
      </c>
      <c r="F95" s="854"/>
      <c r="G95" s="844">
        <v>1</v>
      </c>
      <c r="H95" s="845">
        <v>1</v>
      </c>
      <c r="I95" s="845">
        <v>1</v>
      </c>
      <c r="J95" s="846">
        <v>1</v>
      </c>
      <c r="K95" s="382">
        <v>123000</v>
      </c>
      <c r="L95" s="489">
        <f t="shared" si="11"/>
        <v>492000</v>
      </c>
      <c r="M95" s="489">
        <f t="shared" si="7"/>
        <v>123000</v>
      </c>
      <c r="N95" s="489">
        <f t="shared" si="8"/>
        <v>123000</v>
      </c>
      <c r="O95" s="489">
        <f t="shared" si="10"/>
        <v>123000</v>
      </c>
      <c r="P95" s="489">
        <f t="shared" si="9"/>
        <v>123000</v>
      </c>
      <c r="Q95" s="1123"/>
      <c r="R95" s="400"/>
      <c r="S95" s="400"/>
      <c r="T95" s="902">
        <f t="shared" si="12"/>
        <v>4</v>
      </c>
      <c r="U95" s="189"/>
    </row>
    <row r="96" spans="1:21" ht="30">
      <c r="A96" s="854">
        <v>87</v>
      </c>
      <c r="B96" s="854" t="s">
        <v>2504</v>
      </c>
      <c r="C96" s="854" t="s">
        <v>2519</v>
      </c>
      <c r="D96" s="837">
        <v>112</v>
      </c>
      <c r="E96" s="836" t="s">
        <v>286</v>
      </c>
      <c r="F96" s="854"/>
      <c r="G96" s="844">
        <v>28</v>
      </c>
      <c r="H96" s="845">
        <v>28</v>
      </c>
      <c r="I96" s="845">
        <v>28</v>
      </c>
      <c r="J96" s="846">
        <v>28</v>
      </c>
      <c r="K96" s="382">
        <v>105000</v>
      </c>
      <c r="L96" s="489">
        <f t="shared" si="11"/>
        <v>11760000</v>
      </c>
      <c r="M96" s="489">
        <f t="shared" si="7"/>
        <v>2940000</v>
      </c>
      <c r="N96" s="489">
        <f t="shared" si="8"/>
        <v>2940000</v>
      </c>
      <c r="O96" s="489">
        <f t="shared" si="10"/>
        <v>2940000</v>
      </c>
      <c r="P96" s="489">
        <f t="shared" si="9"/>
        <v>2940000</v>
      </c>
      <c r="Q96" s="1123"/>
      <c r="R96" s="400"/>
      <c r="S96" s="400"/>
      <c r="T96" s="902">
        <f t="shared" si="12"/>
        <v>112</v>
      </c>
      <c r="U96" s="189"/>
    </row>
    <row r="97" spans="1:21" ht="30">
      <c r="A97" s="854">
        <v>88</v>
      </c>
      <c r="B97" s="854" t="s">
        <v>2506</v>
      </c>
      <c r="C97" s="854" t="s">
        <v>2520</v>
      </c>
      <c r="D97" s="837">
        <v>224</v>
      </c>
      <c r="E97" s="836" t="s">
        <v>286</v>
      </c>
      <c r="F97" s="854"/>
      <c r="G97" s="844">
        <v>56</v>
      </c>
      <c r="H97" s="845">
        <v>56</v>
      </c>
      <c r="I97" s="845">
        <v>56</v>
      </c>
      <c r="J97" s="846">
        <v>56</v>
      </c>
      <c r="K97" s="382">
        <v>62000</v>
      </c>
      <c r="L97" s="489">
        <f t="shared" si="11"/>
        <v>13888000</v>
      </c>
      <c r="M97" s="489">
        <f t="shared" si="7"/>
        <v>3472000</v>
      </c>
      <c r="N97" s="489">
        <f t="shared" si="8"/>
        <v>3472000</v>
      </c>
      <c r="O97" s="489">
        <f t="shared" si="10"/>
        <v>3472000</v>
      </c>
      <c r="P97" s="489">
        <f t="shared" si="9"/>
        <v>3472000</v>
      </c>
      <c r="Q97" s="1123"/>
      <c r="R97" s="400"/>
      <c r="S97" s="400"/>
      <c r="T97" s="902">
        <f t="shared" si="12"/>
        <v>224</v>
      </c>
      <c r="U97" s="189"/>
    </row>
    <row r="98" spans="1:21" ht="30">
      <c r="A98" s="854">
        <v>89</v>
      </c>
      <c r="B98" s="854" t="s">
        <v>2508</v>
      </c>
      <c r="C98" s="854" t="s">
        <v>2521</v>
      </c>
      <c r="D98" s="837">
        <v>56</v>
      </c>
      <c r="E98" s="836" t="s">
        <v>286</v>
      </c>
      <c r="F98" s="854"/>
      <c r="G98" s="844">
        <v>14</v>
      </c>
      <c r="H98" s="845">
        <v>14</v>
      </c>
      <c r="I98" s="845">
        <v>14</v>
      </c>
      <c r="J98" s="846">
        <v>14</v>
      </c>
      <c r="K98" s="382">
        <v>129000</v>
      </c>
      <c r="L98" s="489">
        <f t="shared" si="11"/>
        <v>7224000</v>
      </c>
      <c r="M98" s="489">
        <f t="shared" si="7"/>
        <v>1806000</v>
      </c>
      <c r="N98" s="489">
        <f t="shared" si="8"/>
        <v>1806000</v>
      </c>
      <c r="O98" s="489">
        <f t="shared" si="10"/>
        <v>1806000</v>
      </c>
      <c r="P98" s="489">
        <f t="shared" si="9"/>
        <v>1806000</v>
      </c>
      <c r="Q98" s="1123"/>
      <c r="R98" s="400"/>
      <c r="S98" s="400"/>
      <c r="T98" s="902">
        <f t="shared" si="12"/>
        <v>56</v>
      </c>
      <c r="U98" s="189"/>
    </row>
    <row r="99" spans="1:21" ht="30">
      <c r="A99" s="854">
        <v>90</v>
      </c>
      <c r="B99" s="854" t="s">
        <v>2522</v>
      </c>
      <c r="C99" s="854" t="s">
        <v>2523</v>
      </c>
      <c r="D99" s="837">
        <v>8</v>
      </c>
      <c r="E99" s="836" t="s">
        <v>286</v>
      </c>
      <c r="F99" s="854"/>
      <c r="G99" s="844">
        <v>2</v>
      </c>
      <c r="H99" s="845">
        <v>2</v>
      </c>
      <c r="I99" s="845">
        <v>2</v>
      </c>
      <c r="J99" s="846">
        <v>2</v>
      </c>
      <c r="K99" s="382">
        <v>524055</v>
      </c>
      <c r="L99" s="489">
        <f t="shared" si="11"/>
        <v>4192440</v>
      </c>
      <c r="M99" s="489">
        <f t="shared" si="7"/>
        <v>1048110</v>
      </c>
      <c r="N99" s="489">
        <f t="shared" si="8"/>
        <v>1048110</v>
      </c>
      <c r="O99" s="489">
        <f t="shared" si="10"/>
        <v>1048110</v>
      </c>
      <c r="P99" s="489">
        <f t="shared" si="9"/>
        <v>1048110</v>
      </c>
      <c r="Q99" s="1123"/>
      <c r="R99" s="400"/>
      <c r="S99" s="400"/>
      <c r="T99" s="902">
        <f t="shared" si="12"/>
        <v>8</v>
      </c>
      <c r="U99" s="189"/>
    </row>
    <row r="100" spans="1:21" ht="30">
      <c r="A100" s="854">
        <v>91</v>
      </c>
      <c r="B100" s="854" t="s">
        <v>2524</v>
      </c>
      <c r="C100" s="854" t="s">
        <v>2525</v>
      </c>
      <c r="D100" s="837">
        <v>24</v>
      </c>
      <c r="E100" s="836" t="s">
        <v>286</v>
      </c>
      <c r="F100" s="854"/>
      <c r="G100" s="844">
        <v>6</v>
      </c>
      <c r="H100" s="845">
        <v>6</v>
      </c>
      <c r="I100" s="845">
        <v>6</v>
      </c>
      <c r="J100" s="846">
        <v>6</v>
      </c>
      <c r="K100" s="382">
        <v>649460</v>
      </c>
      <c r="L100" s="489">
        <f t="shared" si="11"/>
        <v>15587040</v>
      </c>
      <c r="M100" s="489">
        <f t="shared" si="7"/>
        <v>3896760</v>
      </c>
      <c r="N100" s="489">
        <f t="shared" si="8"/>
        <v>3896760</v>
      </c>
      <c r="O100" s="489">
        <f t="shared" si="10"/>
        <v>3896760</v>
      </c>
      <c r="P100" s="489">
        <f t="shared" si="9"/>
        <v>3896760</v>
      </c>
      <c r="Q100" s="1123"/>
      <c r="R100" s="400"/>
      <c r="S100" s="400"/>
      <c r="T100" s="902">
        <f t="shared" si="12"/>
        <v>24</v>
      </c>
      <c r="U100" s="189"/>
    </row>
    <row r="101" spans="1:21" ht="30">
      <c r="A101" s="854">
        <v>92</v>
      </c>
      <c r="B101" s="854" t="s">
        <v>2526</v>
      </c>
      <c r="C101" s="854" t="s">
        <v>2527</v>
      </c>
      <c r="D101" s="837">
        <v>22</v>
      </c>
      <c r="E101" s="836" t="s">
        <v>286</v>
      </c>
      <c r="F101" s="854"/>
      <c r="G101" s="844">
        <v>6</v>
      </c>
      <c r="H101" s="845">
        <v>5</v>
      </c>
      <c r="I101" s="845">
        <v>6</v>
      </c>
      <c r="J101" s="846">
        <v>5</v>
      </c>
      <c r="K101" s="382">
        <v>1411050</v>
      </c>
      <c r="L101" s="489">
        <f t="shared" si="11"/>
        <v>31043100</v>
      </c>
      <c r="M101" s="489">
        <f t="shared" si="7"/>
        <v>8466300</v>
      </c>
      <c r="N101" s="489">
        <f t="shared" si="8"/>
        <v>7055250</v>
      </c>
      <c r="O101" s="489">
        <f t="shared" si="10"/>
        <v>8466300</v>
      </c>
      <c r="P101" s="489">
        <f t="shared" si="9"/>
        <v>7055250</v>
      </c>
      <c r="Q101" s="1123"/>
      <c r="R101" s="400"/>
      <c r="S101" s="400"/>
      <c r="T101" s="902">
        <f t="shared" si="12"/>
        <v>22</v>
      </c>
      <c r="U101" s="189"/>
    </row>
    <row r="102" spans="1:21" ht="30">
      <c r="A102" s="854">
        <v>93</v>
      </c>
      <c r="B102" s="854" t="s">
        <v>2528</v>
      </c>
      <c r="C102" s="854" t="s">
        <v>2529</v>
      </c>
      <c r="D102" s="837">
        <v>16</v>
      </c>
      <c r="E102" s="836" t="s">
        <v>286</v>
      </c>
      <c r="F102" s="854"/>
      <c r="G102" s="844">
        <v>3</v>
      </c>
      <c r="H102" s="845">
        <v>5</v>
      </c>
      <c r="I102" s="845">
        <v>5</v>
      </c>
      <c r="J102" s="846">
        <v>3</v>
      </c>
      <c r="K102" s="382">
        <v>75000</v>
      </c>
      <c r="L102" s="489">
        <f t="shared" si="11"/>
        <v>1200000</v>
      </c>
      <c r="M102" s="489">
        <f t="shared" si="7"/>
        <v>225000</v>
      </c>
      <c r="N102" s="489">
        <f t="shared" si="8"/>
        <v>375000</v>
      </c>
      <c r="O102" s="489">
        <f t="shared" si="10"/>
        <v>375000</v>
      </c>
      <c r="P102" s="489">
        <f t="shared" si="9"/>
        <v>225000</v>
      </c>
      <c r="Q102" s="1123"/>
      <c r="R102" s="400"/>
      <c r="S102" s="400"/>
      <c r="T102" s="902">
        <f t="shared" si="12"/>
        <v>16</v>
      </c>
      <c r="U102" s="189"/>
    </row>
    <row r="103" spans="1:21" ht="30">
      <c r="A103" s="854">
        <v>94</v>
      </c>
      <c r="B103" s="854" t="s">
        <v>2530</v>
      </c>
      <c r="C103" s="854" t="s">
        <v>2531</v>
      </c>
      <c r="D103" s="837">
        <v>20</v>
      </c>
      <c r="E103" s="836" t="s">
        <v>286</v>
      </c>
      <c r="F103" s="854"/>
      <c r="G103" s="844">
        <v>5</v>
      </c>
      <c r="H103" s="845">
        <v>5</v>
      </c>
      <c r="I103" s="845">
        <v>5</v>
      </c>
      <c r="J103" s="846">
        <v>5</v>
      </c>
      <c r="K103" s="382">
        <v>71500</v>
      </c>
      <c r="L103" s="489">
        <f t="shared" si="11"/>
        <v>1430000</v>
      </c>
      <c r="M103" s="489">
        <f t="shared" si="7"/>
        <v>357500</v>
      </c>
      <c r="N103" s="489">
        <f t="shared" si="8"/>
        <v>357500</v>
      </c>
      <c r="O103" s="489">
        <f t="shared" si="10"/>
        <v>357500</v>
      </c>
      <c r="P103" s="489">
        <f t="shared" si="9"/>
        <v>357500</v>
      </c>
      <c r="Q103" s="1123"/>
      <c r="R103" s="400"/>
      <c r="S103" s="400"/>
      <c r="T103" s="902">
        <f t="shared" si="12"/>
        <v>20</v>
      </c>
      <c r="U103" s="189"/>
    </row>
    <row r="104" spans="1:21">
      <c r="A104" s="854">
        <v>95</v>
      </c>
      <c r="B104" s="854" t="s">
        <v>2532</v>
      </c>
      <c r="C104" s="854" t="s">
        <v>2533</v>
      </c>
      <c r="D104" s="837">
        <v>132</v>
      </c>
      <c r="E104" s="836" t="s">
        <v>286</v>
      </c>
      <c r="F104" s="854"/>
      <c r="G104" s="844">
        <v>33</v>
      </c>
      <c r="H104" s="845">
        <v>33</v>
      </c>
      <c r="I104" s="845">
        <v>33</v>
      </c>
      <c r="J104" s="846">
        <v>33</v>
      </c>
      <c r="K104" s="382">
        <v>60000</v>
      </c>
      <c r="L104" s="489">
        <f t="shared" si="11"/>
        <v>7920000</v>
      </c>
      <c r="M104" s="489">
        <f t="shared" si="7"/>
        <v>1980000</v>
      </c>
      <c r="N104" s="489">
        <f t="shared" si="8"/>
        <v>1980000</v>
      </c>
      <c r="O104" s="489">
        <f t="shared" si="10"/>
        <v>1980000</v>
      </c>
      <c r="P104" s="489">
        <f t="shared" si="9"/>
        <v>1980000</v>
      </c>
      <c r="Q104" s="1123"/>
      <c r="R104" s="400"/>
      <c r="S104" s="400"/>
      <c r="T104" s="902">
        <f t="shared" si="12"/>
        <v>132</v>
      </c>
      <c r="U104" s="189"/>
    </row>
    <row r="105" spans="1:21" ht="30">
      <c r="A105" s="854">
        <v>96</v>
      </c>
      <c r="B105" s="854" t="s">
        <v>2476</v>
      </c>
      <c r="C105" s="854" t="s">
        <v>2534</v>
      </c>
      <c r="D105" s="837">
        <v>132</v>
      </c>
      <c r="E105" s="836" t="s">
        <v>286</v>
      </c>
      <c r="F105" s="854"/>
      <c r="G105" s="844">
        <v>33</v>
      </c>
      <c r="H105" s="845">
        <v>33</v>
      </c>
      <c r="I105" s="845">
        <v>33</v>
      </c>
      <c r="J105" s="846">
        <v>33</v>
      </c>
      <c r="K105" s="382">
        <v>49500</v>
      </c>
      <c r="L105" s="489">
        <f t="shared" si="11"/>
        <v>6534000</v>
      </c>
      <c r="M105" s="489">
        <f t="shared" si="7"/>
        <v>1633500</v>
      </c>
      <c r="N105" s="489">
        <f t="shared" si="8"/>
        <v>1633500</v>
      </c>
      <c r="O105" s="489">
        <f t="shared" si="10"/>
        <v>1633500</v>
      </c>
      <c r="P105" s="489">
        <f t="shared" si="9"/>
        <v>1633500</v>
      </c>
      <c r="Q105" s="1123"/>
      <c r="R105" s="400"/>
      <c r="S105" s="400"/>
      <c r="T105" s="902">
        <f t="shared" si="12"/>
        <v>132</v>
      </c>
      <c r="U105" s="189"/>
    </row>
    <row r="106" spans="1:21">
      <c r="A106" s="854">
        <v>97</v>
      </c>
      <c r="B106" s="854">
        <v>96553450</v>
      </c>
      <c r="C106" s="854" t="s">
        <v>2535</v>
      </c>
      <c r="D106" s="837">
        <v>110</v>
      </c>
      <c r="E106" s="836" t="s">
        <v>286</v>
      </c>
      <c r="F106" s="854"/>
      <c r="G106" s="844">
        <v>31</v>
      </c>
      <c r="H106" s="845">
        <v>31</v>
      </c>
      <c r="I106" s="845">
        <v>24</v>
      </c>
      <c r="J106" s="846">
        <v>24</v>
      </c>
      <c r="K106" s="382">
        <v>29500</v>
      </c>
      <c r="L106" s="489">
        <f t="shared" si="11"/>
        <v>3245000</v>
      </c>
      <c r="M106" s="489">
        <f t="shared" si="7"/>
        <v>914500</v>
      </c>
      <c r="N106" s="489">
        <f t="shared" si="8"/>
        <v>914500</v>
      </c>
      <c r="O106" s="489">
        <f t="shared" si="10"/>
        <v>708000</v>
      </c>
      <c r="P106" s="489">
        <f t="shared" si="9"/>
        <v>708000</v>
      </c>
      <c r="Q106" s="1123"/>
      <c r="R106" s="400"/>
      <c r="S106" s="400"/>
      <c r="T106" s="902">
        <f t="shared" si="12"/>
        <v>110</v>
      </c>
      <c r="U106" s="189"/>
    </row>
    <row r="107" spans="1:21" ht="30">
      <c r="A107" s="854">
        <v>98</v>
      </c>
      <c r="B107" s="854" t="s">
        <v>2536</v>
      </c>
      <c r="C107" s="854" t="s">
        <v>2537</v>
      </c>
      <c r="D107" s="837">
        <v>8</v>
      </c>
      <c r="E107" s="836" t="s">
        <v>286</v>
      </c>
      <c r="F107" s="854"/>
      <c r="G107" s="844">
        <v>2</v>
      </c>
      <c r="H107" s="845">
        <v>2</v>
      </c>
      <c r="I107" s="845">
        <v>2</v>
      </c>
      <c r="J107" s="846">
        <v>2</v>
      </c>
      <c r="K107" s="382">
        <v>109000</v>
      </c>
      <c r="L107" s="489">
        <f t="shared" si="11"/>
        <v>872000</v>
      </c>
      <c r="M107" s="489">
        <f t="shared" si="7"/>
        <v>218000</v>
      </c>
      <c r="N107" s="489">
        <f t="shared" si="8"/>
        <v>218000</v>
      </c>
      <c r="O107" s="489">
        <f t="shared" si="10"/>
        <v>218000</v>
      </c>
      <c r="P107" s="489">
        <f t="shared" si="9"/>
        <v>218000</v>
      </c>
      <c r="Q107" s="1123"/>
      <c r="R107" s="400"/>
      <c r="S107" s="400"/>
      <c r="T107" s="902">
        <f t="shared" si="12"/>
        <v>8</v>
      </c>
      <c r="U107" s="189"/>
    </row>
    <row r="108" spans="1:21" ht="30">
      <c r="A108" s="854">
        <v>99</v>
      </c>
      <c r="B108" s="854" t="s">
        <v>2538</v>
      </c>
      <c r="C108" s="854" t="s">
        <v>2538</v>
      </c>
      <c r="D108" s="837">
        <v>4</v>
      </c>
      <c r="E108" s="836" t="s">
        <v>286</v>
      </c>
      <c r="F108" s="854"/>
      <c r="G108" s="844">
        <v>1</v>
      </c>
      <c r="H108" s="845">
        <v>1</v>
      </c>
      <c r="I108" s="845">
        <v>1</v>
      </c>
      <c r="J108" s="846">
        <v>1</v>
      </c>
      <c r="K108" s="382">
        <v>85500</v>
      </c>
      <c r="L108" s="489">
        <f t="shared" si="11"/>
        <v>342000</v>
      </c>
      <c r="M108" s="489">
        <f t="shared" si="7"/>
        <v>85500</v>
      </c>
      <c r="N108" s="489">
        <f t="shared" si="8"/>
        <v>85500</v>
      </c>
      <c r="O108" s="489">
        <f t="shared" si="10"/>
        <v>85500</v>
      </c>
      <c r="P108" s="489">
        <f t="shared" si="9"/>
        <v>85500</v>
      </c>
      <c r="Q108" s="1123"/>
      <c r="R108" s="400"/>
      <c r="S108" s="400"/>
      <c r="T108" s="902">
        <f t="shared" si="12"/>
        <v>4</v>
      </c>
      <c r="U108" s="189"/>
    </row>
    <row r="109" spans="1:21" ht="30">
      <c r="A109" s="854">
        <v>100</v>
      </c>
      <c r="B109" s="854" t="s">
        <v>2539</v>
      </c>
      <c r="C109" s="854" t="s">
        <v>2540</v>
      </c>
      <c r="D109" s="837">
        <v>4</v>
      </c>
      <c r="E109" s="836" t="s">
        <v>286</v>
      </c>
      <c r="F109" s="854"/>
      <c r="G109" s="844">
        <v>1</v>
      </c>
      <c r="H109" s="845">
        <v>1</v>
      </c>
      <c r="I109" s="845">
        <v>1</v>
      </c>
      <c r="J109" s="846">
        <v>1</v>
      </c>
      <c r="K109" s="382">
        <v>73400</v>
      </c>
      <c r="L109" s="489">
        <f t="shared" si="11"/>
        <v>293600</v>
      </c>
      <c r="M109" s="489">
        <f t="shared" si="7"/>
        <v>73400</v>
      </c>
      <c r="N109" s="489">
        <f t="shared" si="8"/>
        <v>73400</v>
      </c>
      <c r="O109" s="489">
        <f t="shared" si="10"/>
        <v>73400</v>
      </c>
      <c r="P109" s="489">
        <f t="shared" si="9"/>
        <v>73400</v>
      </c>
      <c r="Q109" s="1123"/>
      <c r="R109" s="400"/>
      <c r="S109" s="400"/>
      <c r="T109" s="902">
        <f t="shared" si="12"/>
        <v>4</v>
      </c>
      <c r="U109" s="189"/>
    </row>
    <row r="110" spans="1:21">
      <c r="A110" s="854">
        <v>101</v>
      </c>
      <c r="B110" s="854" t="s">
        <v>2541</v>
      </c>
      <c r="C110" s="854" t="s">
        <v>2542</v>
      </c>
      <c r="D110" s="837">
        <v>8</v>
      </c>
      <c r="E110" s="836" t="s">
        <v>286</v>
      </c>
      <c r="F110" s="854"/>
      <c r="G110" s="844">
        <v>2</v>
      </c>
      <c r="H110" s="845">
        <v>2</v>
      </c>
      <c r="I110" s="845">
        <v>2</v>
      </c>
      <c r="J110" s="846">
        <v>2</v>
      </c>
      <c r="K110" s="382">
        <v>68500</v>
      </c>
      <c r="L110" s="489">
        <f t="shared" si="11"/>
        <v>548000</v>
      </c>
      <c r="M110" s="489">
        <f t="shared" si="7"/>
        <v>137000</v>
      </c>
      <c r="N110" s="489">
        <f t="shared" si="8"/>
        <v>137000</v>
      </c>
      <c r="O110" s="489">
        <f t="shared" si="10"/>
        <v>137000</v>
      </c>
      <c r="P110" s="489">
        <f t="shared" si="9"/>
        <v>137000</v>
      </c>
      <c r="Q110" s="1123"/>
      <c r="R110" s="400"/>
      <c r="S110" s="400"/>
      <c r="T110" s="902">
        <f t="shared" si="12"/>
        <v>8</v>
      </c>
      <c r="U110" s="189"/>
    </row>
    <row r="111" spans="1:21">
      <c r="A111" s="854">
        <v>102</v>
      </c>
      <c r="B111" s="854" t="s">
        <v>2471</v>
      </c>
      <c r="C111" s="854" t="s">
        <v>2543</v>
      </c>
      <c r="D111" s="837">
        <v>8</v>
      </c>
      <c r="E111" s="836" t="s">
        <v>286</v>
      </c>
      <c r="F111" s="854"/>
      <c r="G111" s="844">
        <v>2</v>
      </c>
      <c r="H111" s="845">
        <v>2</v>
      </c>
      <c r="I111" s="845">
        <v>2</v>
      </c>
      <c r="J111" s="846">
        <v>2</v>
      </c>
      <c r="K111" s="382">
        <v>72000</v>
      </c>
      <c r="L111" s="489">
        <f t="shared" si="11"/>
        <v>576000</v>
      </c>
      <c r="M111" s="489">
        <f t="shared" si="7"/>
        <v>144000</v>
      </c>
      <c r="N111" s="489">
        <f t="shared" si="8"/>
        <v>144000</v>
      </c>
      <c r="O111" s="489">
        <f t="shared" si="10"/>
        <v>144000</v>
      </c>
      <c r="P111" s="489">
        <f t="shared" si="9"/>
        <v>144000</v>
      </c>
      <c r="Q111" s="1123"/>
      <c r="R111" s="400"/>
      <c r="S111" s="400"/>
      <c r="T111" s="902">
        <f t="shared" si="12"/>
        <v>8</v>
      </c>
      <c r="U111" s="189"/>
    </row>
    <row r="112" spans="1:21" ht="30">
      <c r="A112" s="854">
        <v>103</v>
      </c>
      <c r="B112" s="854" t="s">
        <v>2544</v>
      </c>
      <c r="C112" s="854" t="s">
        <v>2545</v>
      </c>
      <c r="D112" s="837">
        <v>4</v>
      </c>
      <c r="E112" s="836" t="s">
        <v>286</v>
      </c>
      <c r="F112" s="854"/>
      <c r="G112" s="844">
        <v>1</v>
      </c>
      <c r="H112" s="845">
        <v>1</v>
      </c>
      <c r="I112" s="845">
        <v>1</v>
      </c>
      <c r="J112" s="846">
        <v>1</v>
      </c>
      <c r="K112" s="382">
        <v>35000</v>
      </c>
      <c r="L112" s="489">
        <f t="shared" si="11"/>
        <v>140000</v>
      </c>
      <c r="M112" s="489">
        <f t="shared" si="7"/>
        <v>35000</v>
      </c>
      <c r="N112" s="489">
        <f t="shared" si="8"/>
        <v>35000</v>
      </c>
      <c r="O112" s="489">
        <f t="shared" si="10"/>
        <v>35000</v>
      </c>
      <c r="P112" s="489">
        <f t="shared" si="9"/>
        <v>35000</v>
      </c>
      <c r="Q112" s="1123"/>
      <c r="R112" s="400"/>
      <c r="S112" s="400"/>
      <c r="T112" s="902">
        <f t="shared" si="12"/>
        <v>4</v>
      </c>
      <c r="U112" s="189"/>
    </row>
    <row r="113" spans="1:21" ht="30">
      <c r="A113" s="854">
        <v>104</v>
      </c>
      <c r="B113" s="854" t="s">
        <v>2546</v>
      </c>
      <c r="C113" s="854" t="s">
        <v>2547</v>
      </c>
      <c r="D113" s="837">
        <v>7</v>
      </c>
      <c r="E113" s="836" t="s">
        <v>286</v>
      </c>
      <c r="F113" s="854"/>
      <c r="G113" s="844">
        <v>1</v>
      </c>
      <c r="H113" s="845">
        <v>2</v>
      </c>
      <c r="I113" s="845">
        <v>2</v>
      </c>
      <c r="J113" s="846">
        <v>2</v>
      </c>
      <c r="K113" s="382">
        <v>275000</v>
      </c>
      <c r="L113" s="489">
        <f t="shared" si="11"/>
        <v>1925000</v>
      </c>
      <c r="M113" s="489">
        <f t="shared" si="7"/>
        <v>275000</v>
      </c>
      <c r="N113" s="489">
        <f t="shared" si="8"/>
        <v>550000</v>
      </c>
      <c r="O113" s="489">
        <f t="shared" si="10"/>
        <v>550000</v>
      </c>
      <c r="P113" s="489">
        <f t="shared" si="9"/>
        <v>550000</v>
      </c>
      <c r="Q113" s="1123"/>
      <c r="R113" s="400"/>
      <c r="S113" s="400"/>
      <c r="T113" s="902">
        <f t="shared" si="12"/>
        <v>7</v>
      </c>
      <c r="U113" s="189"/>
    </row>
    <row r="114" spans="1:21" ht="30">
      <c r="A114" s="854">
        <v>105</v>
      </c>
      <c r="B114" s="854" t="s">
        <v>2548</v>
      </c>
      <c r="C114" s="854" t="s">
        <v>2549</v>
      </c>
      <c r="D114" s="837">
        <v>16</v>
      </c>
      <c r="E114" s="836" t="s">
        <v>286</v>
      </c>
      <c r="F114" s="854"/>
      <c r="G114" s="844">
        <v>4</v>
      </c>
      <c r="H114" s="845">
        <v>4</v>
      </c>
      <c r="I114" s="845">
        <v>4</v>
      </c>
      <c r="J114" s="846">
        <v>4</v>
      </c>
      <c r="K114" s="382">
        <v>419900</v>
      </c>
      <c r="L114" s="489">
        <f t="shared" si="11"/>
        <v>6718400</v>
      </c>
      <c r="M114" s="489">
        <f t="shared" si="7"/>
        <v>1679600</v>
      </c>
      <c r="N114" s="489">
        <f t="shared" si="8"/>
        <v>1679600</v>
      </c>
      <c r="O114" s="489">
        <f t="shared" si="10"/>
        <v>1679600</v>
      </c>
      <c r="P114" s="489">
        <f t="shared" si="9"/>
        <v>1679600</v>
      </c>
      <c r="Q114" s="1123"/>
      <c r="R114" s="400"/>
      <c r="S114" s="400"/>
      <c r="T114" s="902">
        <f t="shared" si="12"/>
        <v>16</v>
      </c>
      <c r="U114" s="189"/>
    </row>
    <row r="115" spans="1:21" ht="30">
      <c r="A115" s="854">
        <v>106</v>
      </c>
      <c r="B115" s="854" t="s">
        <v>2550</v>
      </c>
      <c r="C115" s="854" t="s">
        <v>2551</v>
      </c>
      <c r="D115" s="837">
        <v>12</v>
      </c>
      <c r="E115" s="836" t="s">
        <v>286</v>
      </c>
      <c r="F115" s="854"/>
      <c r="G115" s="844">
        <v>3</v>
      </c>
      <c r="H115" s="845">
        <v>3</v>
      </c>
      <c r="I115" s="845">
        <v>3</v>
      </c>
      <c r="J115" s="846">
        <v>3</v>
      </c>
      <c r="K115" s="382">
        <v>140000</v>
      </c>
      <c r="L115" s="489">
        <f t="shared" si="11"/>
        <v>1680000</v>
      </c>
      <c r="M115" s="489">
        <f t="shared" si="7"/>
        <v>420000</v>
      </c>
      <c r="N115" s="489">
        <f t="shared" si="8"/>
        <v>420000</v>
      </c>
      <c r="O115" s="489">
        <f t="shared" si="10"/>
        <v>420000</v>
      </c>
      <c r="P115" s="489">
        <f t="shared" si="9"/>
        <v>420000</v>
      </c>
      <c r="Q115" s="1123"/>
      <c r="R115" s="400"/>
      <c r="S115" s="400"/>
      <c r="T115" s="902">
        <f t="shared" si="12"/>
        <v>12</v>
      </c>
      <c r="U115" s="189"/>
    </row>
    <row r="116" spans="1:21" ht="30">
      <c r="A116" s="854">
        <v>107</v>
      </c>
      <c r="B116" s="854" t="s">
        <v>2552</v>
      </c>
      <c r="C116" s="854" t="s">
        <v>2553</v>
      </c>
      <c r="D116" s="837">
        <v>11</v>
      </c>
      <c r="E116" s="836" t="s">
        <v>286</v>
      </c>
      <c r="F116" s="854"/>
      <c r="G116" s="844">
        <v>2</v>
      </c>
      <c r="H116" s="845">
        <v>3</v>
      </c>
      <c r="I116" s="845">
        <v>3</v>
      </c>
      <c r="J116" s="846">
        <v>3</v>
      </c>
      <c r="K116" s="382"/>
      <c r="L116" s="489">
        <f t="shared" si="11"/>
        <v>0</v>
      </c>
      <c r="M116" s="489">
        <f t="shared" si="7"/>
        <v>0</v>
      </c>
      <c r="N116" s="489">
        <f t="shared" si="8"/>
        <v>0</v>
      </c>
      <c r="O116" s="489">
        <f t="shared" si="10"/>
        <v>0</v>
      </c>
      <c r="P116" s="489">
        <f t="shared" si="9"/>
        <v>0</v>
      </c>
      <c r="Q116" s="1123"/>
      <c r="R116" s="400"/>
      <c r="S116" s="400"/>
      <c r="T116" s="902">
        <f t="shared" si="12"/>
        <v>11</v>
      </c>
      <c r="U116" s="189"/>
    </row>
    <row r="117" spans="1:21" ht="30">
      <c r="A117" s="854">
        <v>108</v>
      </c>
      <c r="B117" s="854">
        <v>81125030075</v>
      </c>
      <c r="C117" s="854" t="s">
        <v>2554</v>
      </c>
      <c r="D117" s="837">
        <v>6</v>
      </c>
      <c r="E117" s="836" t="s">
        <v>286</v>
      </c>
      <c r="F117" s="854"/>
      <c r="G117" s="844">
        <v>2</v>
      </c>
      <c r="H117" s="845">
        <v>2</v>
      </c>
      <c r="I117" s="845">
        <v>1</v>
      </c>
      <c r="J117" s="846">
        <v>1</v>
      </c>
      <c r="K117" s="382">
        <v>125000</v>
      </c>
      <c r="L117" s="489">
        <f t="shared" si="11"/>
        <v>750000</v>
      </c>
      <c r="M117" s="489">
        <f t="shared" si="7"/>
        <v>250000</v>
      </c>
      <c r="N117" s="489">
        <f t="shared" si="8"/>
        <v>250000</v>
      </c>
      <c r="O117" s="489">
        <f t="shared" si="10"/>
        <v>125000</v>
      </c>
      <c r="P117" s="489">
        <f t="shared" si="9"/>
        <v>125000</v>
      </c>
      <c r="Q117" s="1123"/>
      <c r="R117" s="400"/>
      <c r="S117" s="400"/>
      <c r="T117" s="902">
        <f t="shared" si="12"/>
        <v>6</v>
      </c>
      <c r="U117" s="189"/>
    </row>
    <row r="118" spans="1:21" ht="45">
      <c r="A118" s="854">
        <v>109</v>
      </c>
      <c r="B118" s="854" t="s">
        <v>2555</v>
      </c>
      <c r="C118" s="854" t="s">
        <v>2556</v>
      </c>
      <c r="D118" s="837">
        <v>72</v>
      </c>
      <c r="E118" s="836" t="s">
        <v>286</v>
      </c>
      <c r="F118" s="854"/>
      <c r="G118" s="844">
        <v>18</v>
      </c>
      <c r="H118" s="845">
        <v>18</v>
      </c>
      <c r="I118" s="845">
        <v>18</v>
      </c>
      <c r="J118" s="846">
        <v>18</v>
      </c>
      <c r="K118" s="382">
        <v>1027950</v>
      </c>
      <c r="L118" s="489">
        <f t="shared" si="11"/>
        <v>74012400</v>
      </c>
      <c r="M118" s="489">
        <f t="shared" si="7"/>
        <v>18503100</v>
      </c>
      <c r="N118" s="489">
        <f t="shared" si="8"/>
        <v>18503100</v>
      </c>
      <c r="O118" s="489">
        <f t="shared" si="10"/>
        <v>18503100</v>
      </c>
      <c r="P118" s="489">
        <f t="shared" si="9"/>
        <v>18503100</v>
      </c>
      <c r="Q118" s="1123"/>
      <c r="R118" s="400"/>
      <c r="S118" s="400"/>
      <c r="T118" s="902">
        <f t="shared" si="12"/>
        <v>72</v>
      </c>
      <c r="U118" s="189"/>
    </row>
    <row r="119" spans="1:21" ht="30">
      <c r="A119" s="854">
        <v>110</v>
      </c>
      <c r="B119" s="854" t="s">
        <v>2557</v>
      </c>
      <c r="C119" s="854" t="s">
        <v>2558</v>
      </c>
      <c r="D119" s="837">
        <v>4</v>
      </c>
      <c r="E119" s="836" t="s">
        <v>286</v>
      </c>
      <c r="F119" s="854"/>
      <c r="G119" s="844">
        <v>1</v>
      </c>
      <c r="H119" s="845">
        <v>1</v>
      </c>
      <c r="I119" s="845">
        <v>1</v>
      </c>
      <c r="J119" s="846">
        <v>1</v>
      </c>
      <c r="K119" s="382">
        <v>1263075</v>
      </c>
      <c r="L119" s="489">
        <f t="shared" si="11"/>
        <v>5052300</v>
      </c>
      <c r="M119" s="489">
        <f t="shared" si="7"/>
        <v>1263075</v>
      </c>
      <c r="N119" s="489">
        <f t="shared" si="8"/>
        <v>1263075</v>
      </c>
      <c r="O119" s="489">
        <f t="shared" si="10"/>
        <v>1263075</v>
      </c>
      <c r="P119" s="489">
        <f t="shared" si="9"/>
        <v>1263075</v>
      </c>
      <c r="Q119" s="1123"/>
      <c r="R119" s="400"/>
      <c r="S119" s="400"/>
      <c r="T119" s="902">
        <f t="shared" si="12"/>
        <v>4</v>
      </c>
      <c r="U119" s="189"/>
    </row>
    <row r="120" spans="1:21" ht="30">
      <c r="A120" s="854">
        <v>111</v>
      </c>
      <c r="B120" s="854">
        <v>42609</v>
      </c>
      <c r="C120" s="854" t="s">
        <v>2559</v>
      </c>
      <c r="D120" s="837">
        <v>6</v>
      </c>
      <c r="E120" s="836" t="s">
        <v>286</v>
      </c>
      <c r="F120" s="854"/>
      <c r="G120" s="844">
        <v>2</v>
      </c>
      <c r="H120" s="845">
        <v>2</v>
      </c>
      <c r="I120" s="845">
        <v>1</v>
      </c>
      <c r="J120" s="846">
        <v>1</v>
      </c>
      <c r="K120" s="382">
        <v>556250</v>
      </c>
      <c r="L120" s="489">
        <f t="shared" si="11"/>
        <v>3337500</v>
      </c>
      <c r="M120" s="489">
        <f t="shared" si="7"/>
        <v>1112500</v>
      </c>
      <c r="N120" s="489">
        <f t="shared" si="8"/>
        <v>1112500</v>
      </c>
      <c r="O120" s="489">
        <f t="shared" si="10"/>
        <v>556250</v>
      </c>
      <c r="P120" s="489">
        <f t="shared" si="9"/>
        <v>556250</v>
      </c>
      <c r="Q120" s="1123"/>
      <c r="R120" s="400"/>
      <c r="S120" s="400"/>
      <c r="T120" s="902">
        <f t="shared" si="12"/>
        <v>6</v>
      </c>
      <c r="U120" s="189"/>
    </row>
    <row r="121" spans="1:21" ht="75">
      <c r="A121" s="854">
        <v>112</v>
      </c>
      <c r="B121" s="854" t="s">
        <v>2560</v>
      </c>
      <c r="C121" s="854" t="s">
        <v>2561</v>
      </c>
      <c r="D121" s="837">
        <v>64</v>
      </c>
      <c r="E121" s="836" t="s">
        <v>286</v>
      </c>
      <c r="F121" s="854"/>
      <c r="G121" s="844">
        <v>16</v>
      </c>
      <c r="H121" s="845">
        <v>16</v>
      </c>
      <c r="I121" s="845">
        <v>16</v>
      </c>
      <c r="J121" s="846">
        <v>16</v>
      </c>
      <c r="K121" s="382">
        <v>1645000</v>
      </c>
      <c r="L121" s="489">
        <f t="shared" si="11"/>
        <v>105280000</v>
      </c>
      <c r="M121" s="489">
        <f t="shared" si="7"/>
        <v>26320000</v>
      </c>
      <c r="N121" s="489">
        <f t="shared" si="8"/>
        <v>26320000</v>
      </c>
      <c r="O121" s="489">
        <f t="shared" si="10"/>
        <v>26320000</v>
      </c>
      <c r="P121" s="489">
        <f t="shared" si="9"/>
        <v>26320000</v>
      </c>
      <c r="Q121" s="1123"/>
      <c r="R121" s="400"/>
      <c r="S121" s="400"/>
      <c r="T121" s="902">
        <f t="shared" si="12"/>
        <v>64</v>
      </c>
      <c r="U121" s="189"/>
    </row>
    <row r="122" spans="1:21" ht="30">
      <c r="A122" s="854">
        <v>113</v>
      </c>
      <c r="B122" s="854" t="s">
        <v>2562</v>
      </c>
      <c r="C122" s="854" t="s">
        <v>2563</v>
      </c>
      <c r="D122" s="837">
        <v>20</v>
      </c>
      <c r="E122" s="836" t="s">
        <v>286</v>
      </c>
      <c r="F122" s="854"/>
      <c r="G122" s="844">
        <v>5</v>
      </c>
      <c r="H122" s="845">
        <v>5</v>
      </c>
      <c r="I122" s="845">
        <v>5</v>
      </c>
      <c r="J122" s="846">
        <v>5</v>
      </c>
      <c r="K122" s="382"/>
      <c r="L122" s="489">
        <f t="shared" si="11"/>
        <v>0</v>
      </c>
      <c r="M122" s="489">
        <f t="shared" ref="M122:M185" si="13">K122*G122</f>
        <v>0</v>
      </c>
      <c r="N122" s="489">
        <f t="shared" ref="N122:N185" si="14">K122*H122</f>
        <v>0</v>
      </c>
      <c r="O122" s="489">
        <f t="shared" si="10"/>
        <v>0</v>
      </c>
      <c r="P122" s="489">
        <f t="shared" ref="P122:P185" si="15">K122*J122</f>
        <v>0</v>
      </c>
      <c r="Q122" s="1123"/>
      <c r="R122" s="400"/>
      <c r="S122" s="400"/>
      <c r="T122" s="902">
        <f t="shared" si="12"/>
        <v>20</v>
      </c>
      <c r="U122" s="189"/>
    </row>
    <row r="123" spans="1:21" ht="30">
      <c r="A123" s="854">
        <v>114</v>
      </c>
      <c r="B123" s="854" t="s">
        <v>2564</v>
      </c>
      <c r="C123" s="854" t="s">
        <v>2563</v>
      </c>
      <c r="D123" s="837">
        <v>16</v>
      </c>
      <c r="E123" s="836" t="s">
        <v>286</v>
      </c>
      <c r="F123" s="854"/>
      <c r="G123" s="844">
        <v>4</v>
      </c>
      <c r="H123" s="845">
        <v>4</v>
      </c>
      <c r="I123" s="845">
        <v>4</v>
      </c>
      <c r="J123" s="846">
        <v>4</v>
      </c>
      <c r="K123" s="382">
        <v>211113</v>
      </c>
      <c r="L123" s="489">
        <f t="shared" si="11"/>
        <v>3377808</v>
      </c>
      <c r="M123" s="489">
        <f t="shared" si="13"/>
        <v>844452</v>
      </c>
      <c r="N123" s="489">
        <f t="shared" si="14"/>
        <v>844452</v>
      </c>
      <c r="O123" s="489">
        <f t="shared" si="10"/>
        <v>844452</v>
      </c>
      <c r="P123" s="489">
        <f t="shared" si="15"/>
        <v>844452</v>
      </c>
      <c r="Q123" s="1123"/>
      <c r="R123" s="400"/>
      <c r="S123" s="400"/>
      <c r="T123" s="902">
        <f t="shared" si="12"/>
        <v>16</v>
      </c>
      <c r="U123" s="189"/>
    </row>
    <row r="124" spans="1:21" ht="30">
      <c r="A124" s="854">
        <v>115</v>
      </c>
      <c r="B124" s="854" t="s">
        <v>2548</v>
      </c>
      <c r="C124" s="854" t="s">
        <v>2563</v>
      </c>
      <c r="D124" s="837">
        <v>92</v>
      </c>
      <c r="E124" s="836" t="s">
        <v>286</v>
      </c>
      <c r="F124" s="854"/>
      <c r="G124" s="844">
        <v>23</v>
      </c>
      <c r="H124" s="845">
        <v>23</v>
      </c>
      <c r="I124" s="845">
        <v>23</v>
      </c>
      <c r="J124" s="846">
        <v>23</v>
      </c>
      <c r="K124" s="382">
        <v>308000</v>
      </c>
      <c r="L124" s="489">
        <f t="shared" si="11"/>
        <v>28336000</v>
      </c>
      <c r="M124" s="489">
        <f t="shared" si="13"/>
        <v>7084000</v>
      </c>
      <c r="N124" s="489">
        <f t="shared" si="14"/>
        <v>7084000</v>
      </c>
      <c r="O124" s="489">
        <f t="shared" ref="O124:O187" si="16">K124*I124</f>
        <v>7084000</v>
      </c>
      <c r="P124" s="489">
        <f t="shared" si="15"/>
        <v>7084000</v>
      </c>
      <c r="Q124" s="1123"/>
      <c r="R124" s="400"/>
      <c r="S124" s="400"/>
      <c r="T124" s="902">
        <f t="shared" si="12"/>
        <v>92</v>
      </c>
      <c r="U124" s="189"/>
    </row>
    <row r="125" spans="1:21" ht="30">
      <c r="A125" s="854">
        <v>116</v>
      </c>
      <c r="B125" s="854">
        <v>986452003</v>
      </c>
      <c r="C125" s="854" t="s">
        <v>2565</v>
      </c>
      <c r="D125" s="837">
        <v>8</v>
      </c>
      <c r="E125" s="836" t="s">
        <v>286</v>
      </c>
      <c r="F125" s="854"/>
      <c r="G125" s="844">
        <v>2</v>
      </c>
      <c r="H125" s="845">
        <v>2</v>
      </c>
      <c r="I125" s="845">
        <v>2</v>
      </c>
      <c r="J125" s="846">
        <v>2</v>
      </c>
      <c r="K125" s="382">
        <v>125000</v>
      </c>
      <c r="L125" s="489">
        <f t="shared" ref="L125:L188" si="17">K125*D125</f>
        <v>1000000</v>
      </c>
      <c r="M125" s="489">
        <f t="shared" si="13"/>
        <v>250000</v>
      </c>
      <c r="N125" s="489">
        <f t="shared" si="14"/>
        <v>250000</v>
      </c>
      <c r="O125" s="489">
        <f t="shared" si="16"/>
        <v>250000</v>
      </c>
      <c r="P125" s="489">
        <f t="shared" si="15"/>
        <v>250000</v>
      </c>
      <c r="Q125" s="1123"/>
      <c r="R125" s="400"/>
      <c r="S125" s="400"/>
      <c r="T125" s="902">
        <f t="shared" si="12"/>
        <v>8</v>
      </c>
      <c r="U125" s="189"/>
    </row>
    <row r="126" spans="1:21" ht="30">
      <c r="A126" s="854">
        <v>117</v>
      </c>
      <c r="B126" s="854" t="s">
        <v>2566</v>
      </c>
      <c r="C126" s="854" t="s">
        <v>2567</v>
      </c>
      <c r="D126" s="837">
        <v>40</v>
      </c>
      <c r="E126" s="836" t="s">
        <v>286</v>
      </c>
      <c r="F126" s="854"/>
      <c r="G126" s="844">
        <v>10</v>
      </c>
      <c r="H126" s="845">
        <v>10</v>
      </c>
      <c r="I126" s="845">
        <v>10</v>
      </c>
      <c r="J126" s="846">
        <v>10</v>
      </c>
      <c r="K126" s="382">
        <v>119750</v>
      </c>
      <c r="L126" s="489">
        <f t="shared" si="17"/>
        <v>4790000</v>
      </c>
      <c r="M126" s="489">
        <f t="shared" si="13"/>
        <v>1197500</v>
      </c>
      <c r="N126" s="489">
        <f t="shared" si="14"/>
        <v>1197500</v>
      </c>
      <c r="O126" s="489">
        <f t="shared" si="16"/>
        <v>1197500</v>
      </c>
      <c r="P126" s="489">
        <f t="shared" si="15"/>
        <v>1197500</v>
      </c>
      <c r="Q126" s="1123"/>
      <c r="R126" s="400"/>
      <c r="S126" s="400"/>
      <c r="T126" s="902">
        <f t="shared" si="12"/>
        <v>40</v>
      </c>
      <c r="U126" s="189"/>
    </row>
    <row r="127" spans="1:21" ht="30">
      <c r="A127" s="854">
        <v>118</v>
      </c>
      <c r="B127" s="854" t="s">
        <v>2568</v>
      </c>
      <c r="C127" s="854" t="s">
        <v>2569</v>
      </c>
      <c r="D127" s="837">
        <v>32</v>
      </c>
      <c r="E127" s="836" t="s">
        <v>286</v>
      </c>
      <c r="F127" s="854"/>
      <c r="G127" s="844">
        <v>8</v>
      </c>
      <c r="H127" s="845">
        <v>8</v>
      </c>
      <c r="I127" s="845">
        <v>8</v>
      </c>
      <c r="J127" s="846">
        <v>8</v>
      </c>
      <c r="K127" s="382">
        <v>1237500</v>
      </c>
      <c r="L127" s="489">
        <f t="shared" si="17"/>
        <v>39600000</v>
      </c>
      <c r="M127" s="489">
        <f t="shared" si="13"/>
        <v>9900000</v>
      </c>
      <c r="N127" s="489">
        <f t="shared" si="14"/>
        <v>9900000</v>
      </c>
      <c r="O127" s="489">
        <f t="shared" si="16"/>
        <v>9900000</v>
      </c>
      <c r="P127" s="489">
        <f t="shared" si="15"/>
        <v>9900000</v>
      </c>
      <c r="Q127" s="1123"/>
      <c r="R127" s="400"/>
      <c r="S127" s="400"/>
      <c r="T127" s="902">
        <f t="shared" si="12"/>
        <v>32</v>
      </c>
      <c r="U127" s="189"/>
    </row>
    <row r="128" spans="1:21" ht="30">
      <c r="A128" s="854">
        <v>119</v>
      </c>
      <c r="B128" s="854" t="s">
        <v>2570</v>
      </c>
      <c r="C128" s="854" t="s">
        <v>2569</v>
      </c>
      <c r="D128" s="837">
        <v>16</v>
      </c>
      <c r="E128" s="836" t="s">
        <v>286</v>
      </c>
      <c r="F128" s="854"/>
      <c r="G128" s="844">
        <v>4</v>
      </c>
      <c r="H128" s="845">
        <v>4</v>
      </c>
      <c r="I128" s="845">
        <v>4</v>
      </c>
      <c r="J128" s="846">
        <v>4</v>
      </c>
      <c r="K128" s="382">
        <v>359050</v>
      </c>
      <c r="L128" s="489">
        <f t="shared" si="17"/>
        <v>5744800</v>
      </c>
      <c r="M128" s="489">
        <f t="shared" si="13"/>
        <v>1436200</v>
      </c>
      <c r="N128" s="489">
        <f t="shared" si="14"/>
        <v>1436200</v>
      </c>
      <c r="O128" s="489">
        <f t="shared" si="16"/>
        <v>1436200</v>
      </c>
      <c r="P128" s="489">
        <f t="shared" si="15"/>
        <v>1436200</v>
      </c>
      <c r="Q128" s="1123"/>
      <c r="R128" s="400"/>
      <c r="S128" s="400"/>
      <c r="T128" s="902">
        <f t="shared" si="12"/>
        <v>16</v>
      </c>
      <c r="U128" s="189"/>
    </row>
    <row r="129" spans="1:21" ht="45">
      <c r="A129" s="854">
        <v>120</v>
      </c>
      <c r="B129" s="854" t="s">
        <v>2571</v>
      </c>
      <c r="C129" s="854" t="s">
        <v>2569</v>
      </c>
      <c r="D129" s="837">
        <v>184</v>
      </c>
      <c r="E129" s="836" t="s">
        <v>286</v>
      </c>
      <c r="F129" s="854"/>
      <c r="G129" s="844">
        <v>46</v>
      </c>
      <c r="H129" s="845">
        <v>46</v>
      </c>
      <c r="I129" s="845">
        <v>46</v>
      </c>
      <c r="J129" s="846">
        <v>46</v>
      </c>
      <c r="K129" s="382">
        <v>935550</v>
      </c>
      <c r="L129" s="489">
        <f t="shared" si="17"/>
        <v>172141200</v>
      </c>
      <c r="M129" s="489">
        <f t="shared" si="13"/>
        <v>43035300</v>
      </c>
      <c r="N129" s="489">
        <f t="shared" si="14"/>
        <v>43035300</v>
      </c>
      <c r="O129" s="489">
        <f t="shared" si="16"/>
        <v>43035300</v>
      </c>
      <c r="P129" s="489">
        <f t="shared" si="15"/>
        <v>43035300</v>
      </c>
      <c r="Q129" s="1123"/>
      <c r="R129" s="400"/>
      <c r="S129" s="400"/>
      <c r="T129" s="902">
        <f t="shared" si="12"/>
        <v>184</v>
      </c>
      <c r="U129" s="189"/>
    </row>
    <row r="130" spans="1:21" ht="30">
      <c r="A130" s="854">
        <v>121</v>
      </c>
      <c r="B130" s="854" t="s">
        <v>2572</v>
      </c>
      <c r="C130" s="854" t="s">
        <v>2573</v>
      </c>
      <c r="D130" s="837">
        <v>16</v>
      </c>
      <c r="E130" s="836" t="s">
        <v>286</v>
      </c>
      <c r="F130" s="854"/>
      <c r="G130" s="844">
        <v>4</v>
      </c>
      <c r="H130" s="845">
        <v>4</v>
      </c>
      <c r="I130" s="845">
        <v>4</v>
      </c>
      <c r="J130" s="846">
        <v>4</v>
      </c>
      <c r="K130" s="382">
        <v>255000</v>
      </c>
      <c r="L130" s="489">
        <f t="shared" si="17"/>
        <v>4080000</v>
      </c>
      <c r="M130" s="489">
        <f t="shared" si="13"/>
        <v>1020000</v>
      </c>
      <c r="N130" s="489">
        <f t="shared" si="14"/>
        <v>1020000</v>
      </c>
      <c r="O130" s="489">
        <f t="shared" si="16"/>
        <v>1020000</v>
      </c>
      <c r="P130" s="489">
        <f t="shared" si="15"/>
        <v>1020000</v>
      </c>
      <c r="Q130" s="1123"/>
      <c r="R130" s="400"/>
      <c r="S130" s="400"/>
      <c r="T130" s="902">
        <f t="shared" si="12"/>
        <v>16</v>
      </c>
      <c r="U130" s="189"/>
    </row>
    <row r="131" spans="1:21" ht="45">
      <c r="A131" s="854">
        <v>122</v>
      </c>
      <c r="B131" s="854" t="s">
        <v>2574</v>
      </c>
      <c r="C131" s="854" t="s">
        <v>2575</v>
      </c>
      <c r="D131" s="837">
        <v>44</v>
      </c>
      <c r="E131" s="836" t="s">
        <v>286</v>
      </c>
      <c r="F131" s="854"/>
      <c r="G131" s="844">
        <v>10</v>
      </c>
      <c r="H131" s="845">
        <v>12</v>
      </c>
      <c r="I131" s="845">
        <v>12</v>
      </c>
      <c r="J131" s="846">
        <v>10</v>
      </c>
      <c r="K131" s="382">
        <v>210000</v>
      </c>
      <c r="L131" s="489">
        <f t="shared" si="17"/>
        <v>9240000</v>
      </c>
      <c r="M131" s="489">
        <f t="shared" si="13"/>
        <v>2100000</v>
      </c>
      <c r="N131" s="489">
        <f t="shared" si="14"/>
        <v>2520000</v>
      </c>
      <c r="O131" s="489">
        <f t="shared" si="16"/>
        <v>2520000</v>
      </c>
      <c r="P131" s="489">
        <f t="shared" si="15"/>
        <v>2100000</v>
      </c>
      <c r="Q131" s="1123"/>
      <c r="R131" s="400"/>
      <c r="S131" s="400"/>
      <c r="T131" s="902">
        <f t="shared" si="12"/>
        <v>44</v>
      </c>
      <c r="U131" s="189"/>
    </row>
    <row r="132" spans="1:21" ht="45">
      <c r="A132" s="854">
        <v>123</v>
      </c>
      <c r="B132" s="854" t="s">
        <v>2576</v>
      </c>
      <c r="C132" s="854" t="s">
        <v>2577</v>
      </c>
      <c r="D132" s="837">
        <v>24</v>
      </c>
      <c r="E132" s="836" t="s">
        <v>286</v>
      </c>
      <c r="F132" s="854"/>
      <c r="G132" s="844">
        <v>6</v>
      </c>
      <c r="H132" s="845">
        <v>6</v>
      </c>
      <c r="I132" s="845">
        <v>6</v>
      </c>
      <c r="J132" s="846">
        <v>6</v>
      </c>
      <c r="K132" s="382">
        <v>1053486</v>
      </c>
      <c r="L132" s="489">
        <f t="shared" si="17"/>
        <v>25283664</v>
      </c>
      <c r="M132" s="489">
        <f t="shared" si="13"/>
        <v>6320916</v>
      </c>
      <c r="N132" s="489">
        <f t="shared" si="14"/>
        <v>6320916</v>
      </c>
      <c r="O132" s="489">
        <f t="shared" si="16"/>
        <v>6320916</v>
      </c>
      <c r="P132" s="489">
        <f t="shared" si="15"/>
        <v>6320916</v>
      </c>
      <c r="Q132" s="1123"/>
      <c r="R132" s="400"/>
      <c r="S132" s="400"/>
      <c r="T132" s="902">
        <f t="shared" si="12"/>
        <v>24</v>
      </c>
      <c r="U132" s="189"/>
    </row>
    <row r="133" spans="1:21" ht="30">
      <c r="A133" s="854">
        <v>124</v>
      </c>
      <c r="B133" s="854" t="s">
        <v>2557</v>
      </c>
      <c r="C133" s="854" t="s">
        <v>2578</v>
      </c>
      <c r="D133" s="837">
        <v>2</v>
      </c>
      <c r="E133" s="836" t="s">
        <v>286</v>
      </c>
      <c r="F133" s="854"/>
      <c r="G133" s="844"/>
      <c r="H133" s="845">
        <v>1</v>
      </c>
      <c r="I133" s="845"/>
      <c r="J133" s="846">
        <v>1</v>
      </c>
      <c r="K133" s="382">
        <v>1297725</v>
      </c>
      <c r="L133" s="489">
        <f t="shared" si="17"/>
        <v>2595450</v>
      </c>
      <c r="M133" s="489">
        <f t="shared" si="13"/>
        <v>0</v>
      </c>
      <c r="N133" s="489">
        <f t="shared" si="14"/>
        <v>1297725</v>
      </c>
      <c r="O133" s="489">
        <f t="shared" si="16"/>
        <v>0</v>
      </c>
      <c r="P133" s="489">
        <f t="shared" si="15"/>
        <v>1297725</v>
      </c>
      <c r="Q133" s="1123"/>
      <c r="R133" s="400"/>
      <c r="S133" s="400"/>
      <c r="T133" s="902">
        <f t="shared" ref="T133:T196" si="18">D133-S133</f>
        <v>2</v>
      </c>
      <c r="U133" s="189"/>
    </row>
    <row r="134" spans="1:21" ht="30">
      <c r="A134" s="854">
        <v>125</v>
      </c>
      <c r="B134" s="854" t="s">
        <v>2579</v>
      </c>
      <c r="C134" s="854" t="s">
        <v>2578</v>
      </c>
      <c r="D134" s="837">
        <v>4</v>
      </c>
      <c r="E134" s="836" t="s">
        <v>286</v>
      </c>
      <c r="F134" s="854"/>
      <c r="G134" s="844">
        <v>1</v>
      </c>
      <c r="H134" s="845">
        <v>1</v>
      </c>
      <c r="I134" s="845">
        <v>1</v>
      </c>
      <c r="J134" s="846">
        <v>1</v>
      </c>
      <c r="K134" s="382">
        <v>195000</v>
      </c>
      <c r="L134" s="489">
        <f t="shared" si="17"/>
        <v>780000</v>
      </c>
      <c r="M134" s="489">
        <f t="shared" si="13"/>
        <v>195000</v>
      </c>
      <c r="N134" s="489">
        <f t="shared" si="14"/>
        <v>195000</v>
      </c>
      <c r="O134" s="489">
        <f t="shared" si="16"/>
        <v>195000</v>
      </c>
      <c r="P134" s="489">
        <f t="shared" si="15"/>
        <v>195000</v>
      </c>
      <c r="Q134" s="1123"/>
      <c r="R134" s="400"/>
      <c r="S134" s="400"/>
      <c r="T134" s="902">
        <f t="shared" si="18"/>
        <v>4</v>
      </c>
      <c r="U134" s="189"/>
    </row>
    <row r="135" spans="1:21" ht="30">
      <c r="A135" s="854">
        <v>126</v>
      </c>
      <c r="B135" s="854">
        <v>81084006012</v>
      </c>
      <c r="C135" s="854" t="s">
        <v>2580</v>
      </c>
      <c r="D135" s="837">
        <v>18</v>
      </c>
      <c r="E135" s="836" t="s">
        <v>286</v>
      </c>
      <c r="F135" s="854"/>
      <c r="G135" s="844">
        <v>4</v>
      </c>
      <c r="H135" s="845">
        <v>5</v>
      </c>
      <c r="I135" s="845">
        <v>5</v>
      </c>
      <c r="J135" s="846">
        <v>4</v>
      </c>
      <c r="K135" s="382">
        <v>1093500</v>
      </c>
      <c r="L135" s="489">
        <f t="shared" si="17"/>
        <v>19683000</v>
      </c>
      <c r="M135" s="489">
        <f t="shared" si="13"/>
        <v>4374000</v>
      </c>
      <c r="N135" s="489">
        <f t="shared" si="14"/>
        <v>5467500</v>
      </c>
      <c r="O135" s="489">
        <f t="shared" si="16"/>
        <v>5467500</v>
      </c>
      <c r="P135" s="489">
        <f t="shared" si="15"/>
        <v>4374000</v>
      </c>
      <c r="Q135" s="1123"/>
      <c r="R135" s="400"/>
      <c r="S135" s="400"/>
      <c r="T135" s="902">
        <f t="shared" si="18"/>
        <v>18</v>
      </c>
      <c r="U135" s="189"/>
    </row>
    <row r="136" spans="1:21" ht="30">
      <c r="A136" s="854">
        <v>127</v>
      </c>
      <c r="B136" s="854" t="s">
        <v>2581</v>
      </c>
      <c r="C136" s="854" t="s">
        <v>2582</v>
      </c>
      <c r="D136" s="837">
        <v>8</v>
      </c>
      <c r="E136" s="836" t="s">
        <v>286</v>
      </c>
      <c r="F136" s="854"/>
      <c r="G136" s="844">
        <v>2</v>
      </c>
      <c r="H136" s="845">
        <v>2</v>
      </c>
      <c r="I136" s="845">
        <v>2</v>
      </c>
      <c r="J136" s="846">
        <v>2</v>
      </c>
      <c r="K136" s="382">
        <v>364500</v>
      </c>
      <c r="L136" s="489">
        <f t="shared" si="17"/>
        <v>2916000</v>
      </c>
      <c r="M136" s="489">
        <f t="shared" si="13"/>
        <v>729000</v>
      </c>
      <c r="N136" s="489">
        <f t="shared" si="14"/>
        <v>729000</v>
      </c>
      <c r="O136" s="489">
        <f t="shared" si="16"/>
        <v>729000</v>
      </c>
      <c r="P136" s="489">
        <f t="shared" si="15"/>
        <v>729000</v>
      </c>
      <c r="Q136" s="1123"/>
      <c r="R136" s="400"/>
      <c r="S136" s="400"/>
      <c r="T136" s="902">
        <f t="shared" si="18"/>
        <v>8</v>
      </c>
      <c r="U136" s="189"/>
    </row>
    <row r="137" spans="1:21" ht="30">
      <c r="A137" s="854">
        <v>128</v>
      </c>
      <c r="B137" s="854" t="s">
        <v>2548</v>
      </c>
      <c r="C137" s="854" t="s">
        <v>2583</v>
      </c>
      <c r="D137" s="837">
        <v>16</v>
      </c>
      <c r="E137" s="836" t="s">
        <v>286</v>
      </c>
      <c r="F137" s="854"/>
      <c r="G137" s="844">
        <v>4</v>
      </c>
      <c r="H137" s="845">
        <v>4</v>
      </c>
      <c r="I137" s="845">
        <v>4</v>
      </c>
      <c r="J137" s="846">
        <v>4</v>
      </c>
      <c r="K137" s="382">
        <v>308000</v>
      </c>
      <c r="L137" s="489">
        <f t="shared" si="17"/>
        <v>4928000</v>
      </c>
      <c r="M137" s="489">
        <f t="shared" si="13"/>
        <v>1232000</v>
      </c>
      <c r="N137" s="489">
        <f t="shared" si="14"/>
        <v>1232000</v>
      </c>
      <c r="O137" s="489">
        <f t="shared" si="16"/>
        <v>1232000</v>
      </c>
      <c r="P137" s="489">
        <f t="shared" si="15"/>
        <v>1232000</v>
      </c>
      <c r="Q137" s="1123"/>
      <c r="R137" s="400"/>
      <c r="S137" s="400"/>
      <c r="T137" s="902">
        <f t="shared" si="18"/>
        <v>16</v>
      </c>
      <c r="U137" s="189"/>
    </row>
    <row r="138" spans="1:21" ht="30">
      <c r="A138" s="854">
        <v>129</v>
      </c>
      <c r="B138" s="854" t="s">
        <v>2584</v>
      </c>
      <c r="C138" s="854" t="s">
        <v>2582</v>
      </c>
      <c r="D138" s="837">
        <v>4</v>
      </c>
      <c r="E138" s="836" t="s">
        <v>286</v>
      </c>
      <c r="F138" s="854"/>
      <c r="G138" s="844">
        <v>1</v>
      </c>
      <c r="H138" s="845">
        <v>1</v>
      </c>
      <c r="I138" s="845">
        <v>1</v>
      </c>
      <c r="J138" s="846">
        <v>1</v>
      </c>
      <c r="K138" s="382">
        <v>275375</v>
      </c>
      <c r="L138" s="489">
        <f t="shared" si="17"/>
        <v>1101500</v>
      </c>
      <c r="M138" s="489">
        <f t="shared" si="13"/>
        <v>275375</v>
      </c>
      <c r="N138" s="489">
        <f t="shared" si="14"/>
        <v>275375</v>
      </c>
      <c r="O138" s="489">
        <f t="shared" si="16"/>
        <v>275375</v>
      </c>
      <c r="P138" s="489">
        <f t="shared" si="15"/>
        <v>275375</v>
      </c>
      <c r="Q138" s="1123"/>
      <c r="R138" s="400"/>
      <c r="S138" s="400"/>
      <c r="T138" s="902">
        <f t="shared" si="18"/>
        <v>4</v>
      </c>
      <c r="U138" s="189"/>
    </row>
    <row r="139" spans="1:21" ht="30">
      <c r="A139" s="854">
        <v>130</v>
      </c>
      <c r="B139" s="854" t="s">
        <v>2585</v>
      </c>
      <c r="C139" s="854" t="s">
        <v>2586</v>
      </c>
      <c r="D139" s="837">
        <v>16</v>
      </c>
      <c r="E139" s="836" t="s">
        <v>286</v>
      </c>
      <c r="F139" s="854"/>
      <c r="G139" s="844">
        <v>4</v>
      </c>
      <c r="H139" s="845">
        <v>4</v>
      </c>
      <c r="I139" s="845">
        <v>4</v>
      </c>
      <c r="J139" s="846">
        <v>4</v>
      </c>
      <c r="K139" s="382">
        <v>415800</v>
      </c>
      <c r="L139" s="489">
        <f t="shared" si="17"/>
        <v>6652800</v>
      </c>
      <c r="M139" s="489">
        <f t="shared" si="13"/>
        <v>1663200</v>
      </c>
      <c r="N139" s="489">
        <f t="shared" si="14"/>
        <v>1663200</v>
      </c>
      <c r="O139" s="489">
        <f t="shared" si="16"/>
        <v>1663200</v>
      </c>
      <c r="P139" s="489">
        <f t="shared" si="15"/>
        <v>1663200</v>
      </c>
      <c r="Q139" s="1123"/>
      <c r="R139" s="400"/>
      <c r="S139" s="400"/>
      <c r="T139" s="902">
        <f t="shared" si="18"/>
        <v>16</v>
      </c>
      <c r="U139" s="189"/>
    </row>
    <row r="140" spans="1:21" ht="30">
      <c r="A140" s="854">
        <v>131</v>
      </c>
      <c r="B140" s="854" t="s">
        <v>2587</v>
      </c>
      <c r="C140" s="854" t="s">
        <v>2588</v>
      </c>
      <c r="D140" s="837">
        <v>8</v>
      </c>
      <c r="E140" s="836" t="s">
        <v>286</v>
      </c>
      <c r="F140" s="854"/>
      <c r="G140" s="844">
        <v>2</v>
      </c>
      <c r="H140" s="845">
        <v>2</v>
      </c>
      <c r="I140" s="845">
        <v>2</v>
      </c>
      <c r="J140" s="846">
        <v>2</v>
      </c>
      <c r="K140" s="382">
        <v>625600</v>
      </c>
      <c r="L140" s="489">
        <f t="shared" si="17"/>
        <v>5004800</v>
      </c>
      <c r="M140" s="489">
        <f t="shared" si="13"/>
        <v>1251200</v>
      </c>
      <c r="N140" s="489">
        <f t="shared" si="14"/>
        <v>1251200</v>
      </c>
      <c r="O140" s="489">
        <f t="shared" si="16"/>
        <v>1251200</v>
      </c>
      <c r="P140" s="489">
        <f t="shared" si="15"/>
        <v>1251200</v>
      </c>
      <c r="Q140" s="1123"/>
      <c r="R140" s="400"/>
      <c r="S140" s="400"/>
      <c r="T140" s="902">
        <f t="shared" si="18"/>
        <v>8</v>
      </c>
      <c r="U140" s="189"/>
    </row>
    <row r="141" spans="1:21" ht="30">
      <c r="A141" s="854">
        <v>132</v>
      </c>
      <c r="B141" s="854">
        <v>81084050017</v>
      </c>
      <c r="C141" s="854" t="s">
        <v>2589</v>
      </c>
      <c r="D141" s="837">
        <v>10</v>
      </c>
      <c r="E141" s="836" t="s">
        <v>286</v>
      </c>
      <c r="F141" s="854"/>
      <c r="G141" s="844">
        <v>3</v>
      </c>
      <c r="H141" s="845">
        <v>2</v>
      </c>
      <c r="I141" s="845">
        <v>3</v>
      </c>
      <c r="J141" s="846">
        <v>2</v>
      </c>
      <c r="K141" s="382">
        <v>1437500</v>
      </c>
      <c r="L141" s="489">
        <f t="shared" si="17"/>
        <v>14375000</v>
      </c>
      <c r="M141" s="489">
        <f t="shared" si="13"/>
        <v>4312500</v>
      </c>
      <c r="N141" s="489">
        <f t="shared" si="14"/>
        <v>2875000</v>
      </c>
      <c r="O141" s="489">
        <f t="shared" si="16"/>
        <v>4312500</v>
      </c>
      <c r="P141" s="489">
        <f t="shared" si="15"/>
        <v>2875000</v>
      </c>
      <c r="Q141" s="1123"/>
      <c r="R141" s="400"/>
      <c r="S141" s="400"/>
      <c r="T141" s="902">
        <f t="shared" si="18"/>
        <v>10</v>
      </c>
      <c r="U141" s="189"/>
    </row>
    <row r="142" spans="1:21" ht="30">
      <c r="A142" s="854">
        <v>133</v>
      </c>
      <c r="B142" s="854">
        <v>84559022</v>
      </c>
      <c r="C142" s="854" t="s">
        <v>2590</v>
      </c>
      <c r="D142" s="837">
        <v>16</v>
      </c>
      <c r="E142" s="836" t="s">
        <v>286</v>
      </c>
      <c r="F142" s="854"/>
      <c r="G142" s="844">
        <v>4</v>
      </c>
      <c r="H142" s="845">
        <v>4</v>
      </c>
      <c r="I142" s="845">
        <v>4</v>
      </c>
      <c r="J142" s="846">
        <v>4</v>
      </c>
      <c r="K142" s="382">
        <v>220000</v>
      </c>
      <c r="L142" s="489">
        <f t="shared" si="17"/>
        <v>3520000</v>
      </c>
      <c r="M142" s="489">
        <f t="shared" si="13"/>
        <v>880000</v>
      </c>
      <c r="N142" s="489">
        <f t="shared" si="14"/>
        <v>880000</v>
      </c>
      <c r="O142" s="489">
        <f t="shared" si="16"/>
        <v>880000</v>
      </c>
      <c r="P142" s="489">
        <f t="shared" si="15"/>
        <v>880000</v>
      </c>
      <c r="Q142" s="1123"/>
      <c r="R142" s="400"/>
      <c r="S142" s="400"/>
      <c r="T142" s="902">
        <f t="shared" si="18"/>
        <v>16</v>
      </c>
      <c r="U142" s="189"/>
    </row>
    <row r="143" spans="1:21" ht="30">
      <c r="A143" s="854">
        <v>134</v>
      </c>
      <c r="B143" s="854" t="s">
        <v>2591</v>
      </c>
      <c r="C143" s="854" t="s">
        <v>2592</v>
      </c>
      <c r="D143" s="837">
        <v>4</v>
      </c>
      <c r="E143" s="836" t="s">
        <v>286</v>
      </c>
      <c r="F143" s="854"/>
      <c r="G143" s="844">
        <v>1</v>
      </c>
      <c r="H143" s="845">
        <v>1</v>
      </c>
      <c r="I143" s="845">
        <v>1</v>
      </c>
      <c r="J143" s="846">
        <v>1</v>
      </c>
      <c r="K143" s="382">
        <v>336700</v>
      </c>
      <c r="L143" s="489">
        <f t="shared" si="17"/>
        <v>1346800</v>
      </c>
      <c r="M143" s="489">
        <f t="shared" si="13"/>
        <v>336700</v>
      </c>
      <c r="N143" s="489">
        <f t="shared" si="14"/>
        <v>336700</v>
      </c>
      <c r="O143" s="489">
        <f t="shared" si="16"/>
        <v>336700</v>
      </c>
      <c r="P143" s="489">
        <f t="shared" si="15"/>
        <v>336700</v>
      </c>
      <c r="Q143" s="1123"/>
      <c r="R143" s="400"/>
      <c r="S143" s="400"/>
      <c r="T143" s="902">
        <f t="shared" si="18"/>
        <v>4</v>
      </c>
      <c r="U143" s="189"/>
    </row>
    <row r="144" spans="1:21">
      <c r="A144" s="854">
        <v>135</v>
      </c>
      <c r="B144" s="854">
        <v>19256042</v>
      </c>
      <c r="C144" s="854" t="s">
        <v>2593</v>
      </c>
      <c r="D144" s="837">
        <v>24</v>
      </c>
      <c r="E144" s="836" t="s">
        <v>286</v>
      </c>
      <c r="F144" s="854"/>
      <c r="G144" s="844">
        <v>6</v>
      </c>
      <c r="H144" s="845">
        <v>6</v>
      </c>
      <c r="I144" s="845">
        <v>6</v>
      </c>
      <c r="J144" s="846">
        <v>6</v>
      </c>
      <c r="K144" s="382">
        <v>62000</v>
      </c>
      <c r="L144" s="489">
        <f t="shared" si="17"/>
        <v>1488000</v>
      </c>
      <c r="M144" s="489">
        <f t="shared" si="13"/>
        <v>372000</v>
      </c>
      <c r="N144" s="489">
        <f t="shared" si="14"/>
        <v>372000</v>
      </c>
      <c r="O144" s="489">
        <f t="shared" si="16"/>
        <v>372000</v>
      </c>
      <c r="P144" s="489">
        <f t="shared" si="15"/>
        <v>372000</v>
      </c>
      <c r="Q144" s="1123"/>
      <c r="R144" s="400"/>
      <c r="S144" s="400"/>
      <c r="T144" s="902">
        <f t="shared" si="18"/>
        <v>24</v>
      </c>
      <c r="U144" s="189"/>
    </row>
    <row r="145" spans="1:21">
      <c r="A145" s="854">
        <v>136</v>
      </c>
      <c r="B145" s="854" t="s">
        <v>2594</v>
      </c>
      <c r="C145" s="854" t="s">
        <v>2595</v>
      </c>
      <c r="D145" s="837">
        <v>20</v>
      </c>
      <c r="E145" s="836" t="s">
        <v>286</v>
      </c>
      <c r="F145" s="854"/>
      <c r="G145" s="844">
        <v>5</v>
      </c>
      <c r="H145" s="845">
        <v>5</v>
      </c>
      <c r="I145" s="845">
        <v>5</v>
      </c>
      <c r="J145" s="846">
        <v>5</v>
      </c>
      <c r="K145" s="382">
        <v>95000</v>
      </c>
      <c r="L145" s="489">
        <f t="shared" si="17"/>
        <v>1900000</v>
      </c>
      <c r="M145" s="489">
        <f t="shared" si="13"/>
        <v>475000</v>
      </c>
      <c r="N145" s="489">
        <f t="shared" si="14"/>
        <v>475000</v>
      </c>
      <c r="O145" s="489">
        <f t="shared" si="16"/>
        <v>475000</v>
      </c>
      <c r="P145" s="489">
        <f t="shared" si="15"/>
        <v>475000</v>
      </c>
      <c r="Q145" s="1123"/>
      <c r="R145" s="400"/>
      <c r="S145" s="400"/>
      <c r="T145" s="902">
        <f t="shared" si="18"/>
        <v>20</v>
      </c>
      <c r="U145" s="189"/>
    </row>
    <row r="146" spans="1:21">
      <c r="A146" s="854">
        <v>137</v>
      </c>
      <c r="B146" s="854">
        <v>1457433003</v>
      </c>
      <c r="C146" s="854" t="s">
        <v>2596</v>
      </c>
      <c r="D146" s="837">
        <v>20</v>
      </c>
      <c r="E146" s="836" t="s">
        <v>286</v>
      </c>
      <c r="F146" s="854"/>
      <c r="G146" s="844">
        <v>5</v>
      </c>
      <c r="H146" s="845">
        <v>5</v>
      </c>
      <c r="I146" s="845">
        <v>5</v>
      </c>
      <c r="J146" s="846">
        <v>5</v>
      </c>
      <c r="K146" s="382">
        <v>110000</v>
      </c>
      <c r="L146" s="489">
        <f t="shared" si="17"/>
        <v>2200000</v>
      </c>
      <c r="M146" s="489">
        <f t="shared" si="13"/>
        <v>550000</v>
      </c>
      <c r="N146" s="489">
        <f t="shared" si="14"/>
        <v>550000</v>
      </c>
      <c r="O146" s="489">
        <f t="shared" si="16"/>
        <v>550000</v>
      </c>
      <c r="P146" s="489">
        <f t="shared" si="15"/>
        <v>550000</v>
      </c>
      <c r="Q146" s="1123"/>
      <c r="R146" s="400"/>
      <c r="S146" s="400"/>
      <c r="T146" s="902">
        <f t="shared" si="18"/>
        <v>20</v>
      </c>
      <c r="U146" s="189"/>
    </row>
    <row r="147" spans="1:21">
      <c r="A147" s="854">
        <v>138</v>
      </c>
      <c r="B147" s="854" t="s">
        <v>2597</v>
      </c>
      <c r="C147" s="854" t="s">
        <v>2598</v>
      </c>
      <c r="D147" s="837">
        <v>16</v>
      </c>
      <c r="E147" s="836" t="s">
        <v>286</v>
      </c>
      <c r="F147" s="854"/>
      <c r="G147" s="844">
        <v>4</v>
      </c>
      <c r="H147" s="845">
        <v>4</v>
      </c>
      <c r="I147" s="845">
        <v>4</v>
      </c>
      <c r="J147" s="846">
        <v>4</v>
      </c>
      <c r="K147" s="382">
        <v>55000</v>
      </c>
      <c r="L147" s="489">
        <f t="shared" si="17"/>
        <v>880000</v>
      </c>
      <c r="M147" s="489">
        <f t="shared" si="13"/>
        <v>220000</v>
      </c>
      <c r="N147" s="489">
        <f t="shared" si="14"/>
        <v>220000</v>
      </c>
      <c r="O147" s="489">
        <f t="shared" si="16"/>
        <v>220000</v>
      </c>
      <c r="P147" s="489">
        <f t="shared" si="15"/>
        <v>220000</v>
      </c>
      <c r="Q147" s="1123"/>
      <c r="R147" s="400"/>
      <c r="S147" s="400"/>
      <c r="T147" s="902">
        <f t="shared" si="18"/>
        <v>16</v>
      </c>
      <c r="U147" s="189"/>
    </row>
    <row r="148" spans="1:21">
      <c r="A148" s="854">
        <v>139</v>
      </c>
      <c r="B148" s="854">
        <v>96130396</v>
      </c>
      <c r="C148" s="854" t="s">
        <v>2599</v>
      </c>
      <c r="D148" s="837">
        <v>16</v>
      </c>
      <c r="E148" s="836" t="s">
        <v>286</v>
      </c>
      <c r="F148" s="854"/>
      <c r="G148" s="844">
        <v>4</v>
      </c>
      <c r="H148" s="845">
        <v>4</v>
      </c>
      <c r="I148" s="845">
        <v>4</v>
      </c>
      <c r="J148" s="846">
        <v>4</v>
      </c>
      <c r="K148" s="382">
        <v>95000</v>
      </c>
      <c r="L148" s="489">
        <f t="shared" si="17"/>
        <v>1520000</v>
      </c>
      <c r="M148" s="489">
        <f t="shared" si="13"/>
        <v>380000</v>
      </c>
      <c r="N148" s="489">
        <f t="shared" si="14"/>
        <v>380000</v>
      </c>
      <c r="O148" s="489">
        <f t="shared" si="16"/>
        <v>380000</v>
      </c>
      <c r="P148" s="489">
        <f t="shared" si="15"/>
        <v>380000</v>
      </c>
      <c r="Q148" s="1123"/>
      <c r="R148" s="400"/>
      <c r="S148" s="400"/>
      <c r="T148" s="902">
        <f t="shared" si="18"/>
        <v>16</v>
      </c>
      <c r="U148" s="189"/>
    </row>
    <row r="149" spans="1:21">
      <c r="A149" s="854">
        <v>140</v>
      </c>
      <c r="B149" s="854">
        <v>92060868</v>
      </c>
      <c r="C149" s="854" t="s">
        <v>2600</v>
      </c>
      <c r="D149" s="837">
        <v>12</v>
      </c>
      <c r="E149" s="836" t="s">
        <v>286</v>
      </c>
      <c r="F149" s="854"/>
      <c r="G149" s="844">
        <v>2</v>
      </c>
      <c r="H149" s="845">
        <v>4</v>
      </c>
      <c r="I149" s="845">
        <v>4</v>
      </c>
      <c r="J149" s="846">
        <v>2</v>
      </c>
      <c r="K149" s="382">
        <v>155000</v>
      </c>
      <c r="L149" s="489">
        <f t="shared" si="17"/>
        <v>1860000</v>
      </c>
      <c r="M149" s="489">
        <f t="shared" si="13"/>
        <v>310000</v>
      </c>
      <c r="N149" s="489">
        <f t="shared" si="14"/>
        <v>620000</v>
      </c>
      <c r="O149" s="489">
        <f t="shared" si="16"/>
        <v>620000</v>
      </c>
      <c r="P149" s="489">
        <f t="shared" si="15"/>
        <v>310000</v>
      </c>
      <c r="Q149" s="1123"/>
      <c r="R149" s="400"/>
      <c r="S149" s="400"/>
      <c r="T149" s="902">
        <f t="shared" si="18"/>
        <v>12</v>
      </c>
      <c r="U149" s="189"/>
    </row>
    <row r="150" spans="1:21">
      <c r="A150" s="854">
        <v>141</v>
      </c>
      <c r="B150" s="854" t="s">
        <v>2601</v>
      </c>
      <c r="C150" s="854" t="s">
        <v>2602</v>
      </c>
      <c r="D150" s="837">
        <v>12</v>
      </c>
      <c r="E150" s="836" t="s">
        <v>286</v>
      </c>
      <c r="F150" s="854"/>
      <c r="G150" s="844">
        <v>3</v>
      </c>
      <c r="H150" s="845">
        <v>3</v>
      </c>
      <c r="I150" s="845">
        <v>3</v>
      </c>
      <c r="J150" s="846">
        <v>3</v>
      </c>
      <c r="K150" s="382">
        <v>68000</v>
      </c>
      <c r="L150" s="489">
        <f t="shared" si="17"/>
        <v>816000</v>
      </c>
      <c r="M150" s="489">
        <f t="shared" si="13"/>
        <v>204000</v>
      </c>
      <c r="N150" s="489">
        <f t="shared" si="14"/>
        <v>204000</v>
      </c>
      <c r="O150" s="489">
        <f t="shared" si="16"/>
        <v>204000</v>
      </c>
      <c r="P150" s="489">
        <f t="shared" si="15"/>
        <v>204000</v>
      </c>
      <c r="Q150" s="1123"/>
      <c r="R150" s="400"/>
      <c r="S150" s="400"/>
      <c r="T150" s="902">
        <f t="shared" si="18"/>
        <v>12</v>
      </c>
      <c r="U150" s="189"/>
    </row>
    <row r="151" spans="1:21">
      <c r="A151" s="854">
        <v>142</v>
      </c>
      <c r="B151" s="854">
        <v>96335719</v>
      </c>
      <c r="C151" s="854" t="s">
        <v>2603</v>
      </c>
      <c r="D151" s="837">
        <v>12</v>
      </c>
      <c r="E151" s="836" t="s">
        <v>286</v>
      </c>
      <c r="F151" s="854"/>
      <c r="G151" s="844">
        <v>3</v>
      </c>
      <c r="H151" s="845">
        <v>3</v>
      </c>
      <c r="I151" s="845">
        <v>3</v>
      </c>
      <c r="J151" s="846">
        <v>3</v>
      </c>
      <c r="K151" s="382">
        <v>105000</v>
      </c>
      <c r="L151" s="489">
        <f t="shared" si="17"/>
        <v>1260000</v>
      </c>
      <c r="M151" s="489">
        <f t="shared" si="13"/>
        <v>315000</v>
      </c>
      <c r="N151" s="489">
        <f t="shared" si="14"/>
        <v>315000</v>
      </c>
      <c r="O151" s="489">
        <f t="shared" si="16"/>
        <v>315000</v>
      </c>
      <c r="P151" s="489">
        <f t="shared" si="15"/>
        <v>315000</v>
      </c>
      <c r="Q151" s="1123"/>
      <c r="R151" s="400"/>
      <c r="S151" s="400"/>
      <c r="T151" s="902">
        <f t="shared" si="18"/>
        <v>12</v>
      </c>
      <c r="U151" s="189"/>
    </row>
    <row r="152" spans="1:21">
      <c r="A152" s="854">
        <v>143</v>
      </c>
      <c r="B152" s="854" t="s">
        <v>2604</v>
      </c>
      <c r="C152" s="854" t="s">
        <v>2605</v>
      </c>
      <c r="D152" s="837">
        <v>8</v>
      </c>
      <c r="E152" s="836" t="s">
        <v>286</v>
      </c>
      <c r="F152" s="854"/>
      <c r="G152" s="844">
        <v>2</v>
      </c>
      <c r="H152" s="845">
        <v>2</v>
      </c>
      <c r="I152" s="845">
        <v>2</v>
      </c>
      <c r="J152" s="846">
        <v>2</v>
      </c>
      <c r="K152" s="382">
        <v>122500</v>
      </c>
      <c r="L152" s="489">
        <f t="shared" si="17"/>
        <v>980000</v>
      </c>
      <c r="M152" s="489">
        <f t="shared" si="13"/>
        <v>245000</v>
      </c>
      <c r="N152" s="489">
        <f t="shared" si="14"/>
        <v>245000</v>
      </c>
      <c r="O152" s="489">
        <f t="shared" si="16"/>
        <v>245000</v>
      </c>
      <c r="P152" s="489">
        <f t="shared" si="15"/>
        <v>245000</v>
      </c>
      <c r="Q152" s="1123"/>
      <c r="R152" s="400"/>
      <c r="S152" s="400"/>
      <c r="T152" s="902">
        <f t="shared" si="18"/>
        <v>8</v>
      </c>
      <c r="U152" s="189"/>
    </row>
    <row r="153" spans="1:21" ht="45">
      <c r="A153" s="854">
        <v>144</v>
      </c>
      <c r="B153" s="854" t="s">
        <v>2606</v>
      </c>
      <c r="C153" s="854" t="s">
        <v>2607</v>
      </c>
      <c r="D153" s="837">
        <v>16</v>
      </c>
      <c r="E153" s="836" t="s">
        <v>286</v>
      </c>
      <c r="F153" s="854"/>
      <c r="G153" s="844">
        <v>4</v>
      </c>
      <c r="H153" s="845">
        <v>4</v>
      </c>
      <c r="I153" s="845">
        <v>4</v>
      </c>
      <c r="J153" s="846">
        <v>4</v>
      </c>
      <c r="K153" s="382">
        <v>280000</v>
      </c>
      <c r="L153" s="489">
        <f t="shared" si="17"/>
        <v>4480000</v>
      </c>
      <c r="M153" s="489">
        <f t="shared" si="13"/>
        <v>1120000</v>
      </c>
      <c r="N153" s="489">
        <f t="shared" si="14"/>
        <v>1120000</v>
      </c>
      <c r="O153" s="489">
        <f t="shared" si="16"/>
        <v>1120000</v>
      </c>
      <c r="P153" s="489">
        <f t="shared" si="15"/>
        <v>1120000</v>
      </c>
      <c r="Q153" s="1123"/>
      <c r="R153" s="400"/>
      <c r="S153" s="400"/>
      <c r="T153" s="902">
        <f t="shared" si="18"/>
        <v>16</v>
      </c>
      <c r="U153" s="189"/>
    </row>
    <row r="154" spans="1:21" ht="45">
      <c r="A154" s="854">
        <v>145</v>
      </c>
      <c r="B154" s="854" t="s">
        <v>2608</v>
      </c>
      <c r="C154" s="854" t="s">
        <v>2609</v>
      </c>
      <c r="D154" s="837">
        <v>32</v>
      </c>
      <c r="E154" s="836" t="s">
        <v>286</v>
      </c>
      <c r="F154" s="854"/>
      <c r="G154" s="844">
        <v>8</v>
      </c>
      <c r="H154" s="845">
        <v>8</v>
      </c>
      <c r="I154" s="845">
        <v>8</v>
      </c>
      <c r="J154" s="846">
        <v>8</v>
      </c>
      <c r="K154" s="382">
        <v>225000</v>
      </c>
      <c r="L154" s="489">
        <f t="shared" si="17"/>
        <v>7200000</v>
      </c>
      <c r="M154" s="489">
        <f t="shared" si="13"/>
        <v>1800000</v>
      </c>
      <c r="N154" s="489">
        <f t="shared" si="14"/>
        <v>1800000</v>
      </c>
      <c r="O154" s="489">
        <f t="shared" si="16"/>
        <v>1800000</v>
      </c>
      <c r="P154" s="489">
        <f t="shared" si="15"/>
        <v>1800000</v>
      </c>
      <c r="Q154" s="1123"/>
      <c r="R154" s="400"/>
      <c r="S154" s="400"/>
      <c r="T154" s="902">
        <f t="shared" si="18"/>
        <v>32</v>
      </c>
      <c r="U154" s="189"/>
    </row>
    <row r="155" spans="1:21" ht="45">
      <c r="A155" s="854">
        <v>146</v>
      </c>
      <c r="B155" s="854" t="s">
        <v>2610</v>
      </c>
      <c r="C155" s="854" t="s">
        <v>2611</v>
      </c>
      <c r="D155" s="837">
        <v>8</v>
      </c>
      <c r="E155" s="836" t="s">
        <v>286</v>
      </c>
      <c r="F155" s="854"/>
      <c r="G155" s="844">
        <v>2</v>
      </c>
      <c r="H155" s="845">
        <v>2</v>
      </c>
      <c r="I155" s="845">
        <v>2</v>
      </c>
      <c r="J155" s="846">
        <v>2</v>
      </c>
      <c r="K155" s="382">
        <v>527000</v>
      </c>
      <c r="L155" s="489">
        <f t="shared" si="17"/>
        <v>4216000</v>
      </c>
      <c r="M155" s="489">
        <f t="shared" si="13"/>
        <v>1054000</v>
      </c>
      <c r="N155" s="489">
        <f t="shared" si="14"/>
        <v>1054000</v>
      </c>
      <c r="O155" s="489">
        <f t="shared" si="16"/>
        <v>1054000</v>
      </c>
      <c r="P155" s="489">
        <f t="shared" si="15"/>
        <v>1054000</v>
      </c>
      <c r="Q155" s="1123"/>
      <c r="R155" s="400"/>
      <c r="S155" s="400"/>
      <c r="T155" s="902">
        <f t="shared" si="18"/>
        <v>8</v>
      </c>
      <c r="U155" s="189"/>
    </row>
    <row r="156" spans="1:21" ht="30">
      <c r="A156" s="854">
        <v>147</v>
      </c>
      <c r="B156" s="854" t="s">
        <v>2612</v>
      </c>
      <c r="C156" s="854" t="s">
        <v>2613</v>
      </c>
      <c r="D156" s="837">
        <v>154</v>
      </c>
      <c r="E156" s="836" t="s">
        <v>286</v>
      </c>
      <c r="F156" s="854"/>
      <c r="G156" s="844">
        <v>38</v>
      </c>
      <c r="H156" s="845">
        <v>39</v>
      </c>
      <c r="I156" s="845">
        <v>39</v>
      </c>
      <c r="J156" s="846">
        <v>38</v>
      </c>
      <c r="K156" s="382">
        <v>250000</v>
      </c>
      <c r="L156" s="489">
        <f t="shared" si="17"/>
        <v>38500000</v>
      </c>
      <c r="M156" s="489">
        <f t="shared" si="13"/>
        <v>9500000</v>
      </c>
      <c r="N156" s="489">
        <f t="shared" si="14"/>
        <v>9750000</v>
      </c>
      <c r="O156" s="489">
        <f t="shared" si="16"/>
        <v>9750000</v>
      </c>
      <c r="P156" s="489">
        <f t="shared" si="15"/>
        <v>9500000</v>
      </c>
      <c r="Q156" s="1123"/>
      <c r="R156" s="400"/>
      <c r="S156" s="400"/>
      <c r="T156" s="902">
        <f t="shared" si="18"/>
        <v>154</v>
      </c>
      <c r="U156" s="189"/>
    </row>
    <row r="157" spans="1:21" ht="30">
      <c r="A157" s="854">
        <v>148</v>
      </c>
      <c r="B157" s="854" t="s">
        <v>2614</v>
      </c>
      <c r="C157" s="854" t="s">
        <v>2615</v>
      </c>
      <c r="D157" s="837">
        <v>256</v>
      </c>
      <c r="E157" s="836" t="s">
        <v>286</v>
      </c>
      <c r="F157" s="854"/>
      <c r="G157" s="844">
        <v>64</v>
      </c>
      <c r="H157" s="845">
        <v>64</v>
      </c>
      <c r="I157" s="845">
        <v>64</v>
      </c>
      <c r="J157" s="846">
        <v>64</v>
      </c>
      <c r="K157" s="382">
        <v>275000</v>
      </c>
      <c r="L157" s="489">
        <f t="shared" si="17"/>
        <v>70400000</v>
      </c>
      <c r="M157" s="489">
        <f t="shared" si="13"/>
        <v>17600000</v>
      </c>
      <c r="N157" s="489">
        <f t="shared" si="14"/>
        <v>17600000</v>
      </c>
      <c r="O157" s="489">
        <f t="shared" si="16"/>
        <v>17600000</v>
      </c>
      <c r="P157" s="489">
        <f t="shared" si="15"/>
        <v>17600000</v>
      </c>
      <c r="Q157" s="1123"/>
      <c r="R157" s="400"/>
      <c r="S157" s="400"/>
      <c r="T157" s="902">
        <f t="shared" si="18"/>
        <v>256</v>
      </c>
      <c r="U157" s="189"/>
    </row>
    <row r="158" spans="1:21" ht="30">
      <c r="A158" s="854">
        <v>149</v>
      </c>
      <c r="B158" s="854" t="s">
        <v>2532</v>
      </c>
      <c r="C158" s="854" t="s">
        <v>2616</v>
      </c>
      <c r="D158" s="837">
        <v>80</v>
      </c>
      <c r="E158" s="836" t="s">
        <v>286</v>
      </c>
      <c r="F158" s="854"/>
      <c r="G158" s="844">
        <v>21</v>
      </c>
      <c r="H158" s="845">
        <v>21</v>
      </c>
      <c r="I158" s="845">
        <v>19</v>
      </c>
      <c r="J158" s="846">
        <v>19</v>
      </c>
      <c r="K158" s="382">
        <v>500000</v>
      </c>
      <c r="L158" s="489">
        <f t="shared" si="17"/>
        <v>40000000</v>
      </c>
      <c r="M158" s="489">
        <f t="shared" si="13"/>
        <v>10500000</v>
      </c>
      <c r="N158" s="489">
        <f t="shared" si="14"/>
        <v>10500000</v>
      </c>
      <c r="O158" s="489">
        <f t="shared" si="16"/>
        <v>9500000</v>
      </c>
      <c r="P158" s="489">
        <f t="shared" si="15"/>
        <v>9500000</v>
      </c>
      <c r="Q158" s="1123"/>
      <c r="R158" s="400"/>
      <c r="S158" s="400"/>
      <c r="T158" s="902">
        <f t="shared" si="18"/>
        <v>80</v>
      </c>
      <c r="U158" s="189"/>
    </row>
    <row r="159" spans="1:21" ht="30">
      <c r="A159" s="854">
        <v>150</v>
      </c>
      <c r="B159" s="854" t="s">
        <v>2617</v>
      </c>
      <c r="C159" s="854" t="s">
        <v>2618</v>
      </c>
      <c r="D159" s="837">
        <v>42</v>
      </c>
      <c r="E159" s="836" t="s">
        <v>286</v>
      </c>
      <c r="F159" s="854"/>
      <c r="G159" s="844">
        <v>11</v>
      </c>
      <c r="H159" s="845">
        <v>10</v>
      </c>
      <c r="I159" s="845">
        <v>11</v>
      </c>
      <c r="J159" s="846">
        <v>10</v>
      </c>
      <c r="K159" s="382">
        <v>350000</v>
      </c>
      <c r="L159" s="489">
        <f t="shared" si="17"/>
        <v>14700000</v>
      </c>
      <c r="M159" s="489">
        <f t="shared" si="13"/>
        <v>3850000</v>
      </c>
      <c r="N159" s="489">
        <f t="shared" si="14"/>
        <v>3500000</v>
      </c>
      <c r="O159" s="489">
        <f t="shared" si="16"/>
        <v>3850000</v>
      </c>
      <c r="P159" s="489">
        <f t="shared" si="15"/>
        <v>3500000</v>
      </c>
      <c r="Q159" s="1123"/>
      <c r="R159" s="400"/>
      <c r="S159" s="400"/>
      <c r="T159" s="902">
        <f t="shared" si="18"/>
        <v>42</v>
      </c>
      <c r="U159" s="189"/>
    </row>
    <row r="160" spans="1:21" ht="30">
      <c r="A160" s="854">
        <v>151</v>
      </c>
      <c r="B160" s="854" t="s">
        <v>2619</v>
      </c>
      <c r="C160" s="854" t="s">
        <v>2620</v>
      </c>
      <c r="D160" s="837">
        <v>124</v>
      </c>
      <c r="E160" s="836" t="s">
        <v>286</v>
      </c>
      <c r="F160" s="854"/>
      <c r="G160" s="844">
        <v>32</v>
      </c>
      <c r="H160" s="845">
        <v>30</v>
      </c>
      <c r="I160" s="845">
        <v>32</v>
      </c>
      <c r="J160" s="846">
        <v>30</v>
      </c>
      <c r="K160" s="382">
        <v>330000</v>
      </c>
      <c r="L160" s="489">
        <f t="shared" si="17"/>
        <v>40920000</v>
      </c>
      <c r="M160" s="489">
        <f t="shared" si="13"/>
        <v>10560000</v>
      </c>
      <c r="N160" s="489">
        <f t="shared" si="14"/>
        <v>9900000</v>
      </c>
      <c r="O160" s="489">
        <f t="shared" si="16"/>
        <v>10560000</v>
      </c>
      <c r="P160" s="489">
        <f t="shared" si="15"/>
        <v>9900000</v>
      </c>
      <c r="Q160" s="1123"/>
      <c r="R160" s="400"/>
      <c r="S160" s="400"/>
      <c r="T160" s="902">
        <f t="shared" si="18"/>
        <v>124</v>
      </c>
      <c r="U160" s="189"/>
    </row>
    <row r="161" spans="1:21" ht="30">
      <c r="A161" s="854">
        <v>152</v>
      </c>
      <c r="B161" s="854" t="s">
        <v>2621</v>
      </c>
      <c r="C161" s="854" t="s">
        <v>2622</v>
      </c>
      <c r="D161" s="837">
        <v>40</v>
      </c>
      <c r="E161" s="836" t="s">
        <v>286</v>
      </c>
      <c r="F161" s="854"/>
      <c r="G161" s="844">
        <v>10</v>
      </c>
      <c r="H161" s="845">
        <v>10</v>
      </c>
      <c r="I161" s="845">
        <v>10</v>
      </c>
      <c r="J161" s="846">
        <v>10</v>
      </c>
      <c r="K161" s="382">
        <v>450000</v>
      </c>
      <c r="L161" s="489">
        <f t="shared" si="17"/>
        <v>18000000</v>
      </c>
      <c r="M161" s="489">
        <f t="shared" si="13"/>
        <v>4500000</v>
      </c>
      <c r="N161" s="489">
        <f t="shared" si="14"/>
        <v>4500000</v>
      </c>
      <c r="O161" s="489">
        <f t="shared" si="16"/>
        <v>4500000</v>
      </c>
      <c r="P161" s="489">
        <f t="shared" si="15"/>
        <v>4500000</v>
      </c>
      <c r="Q161" s="1123"/>
      <c r="R161" s="400"/>
      <c r="S161" s="400"/>
      <c r="T161" s="902">
        <f t="shared" si="18"/>
        <v>40</v>
      </c>
      <c r="U161" s="189"/>
    </row>
    <row r="162" spans="1:21" ht="30">
      <c r="A162" s="854">
        <v>153</v>
      </c>
      <c r="B162" s="854" t="s">
        <v>2623</v>
      </c>
      <c r="C162" s="854" t="s">
        <v>2624</v>
      </c>
      <c r="D162" s="837">
        <v>32</v>
      </c>
      <c r="E162" s="836" t="s">
        <v>286</v>
      </c>
      <c r="F162" s="854"/>
      <c r="G162" s="844">
        <v>8</v>
      </c>
      <c r="H162" s="845">
        <v>8</v>
      </c>
      <c r="I162" s="845">
        <v>8</v>
      </c>
      <c r="J162" s="846">
        <v>8</v>
      </c>
      <c r="K162" s="382">
        <v>240000</v>
      </c>
      <c r="L162" s="489">
        <f t="shared" si="17"/>
        <v>7680000</v>
      </c>
      <c r="M162" s="489">
        <f t="shared" si="13"/>
        <v>1920000</v>
      </c>
      <c r="N162" s="489">
        <f t="shared" si="14"/>
        <v>1920000</v>
      </c>
      <c r="O162" s="489">
        <f t="shared" si="16"/>
        <v>1920000</v>
      </c>
      <c r="P162" s="489">
        <f t="shared" si="15"/>
        <v>1920000</v>
      </c>
      <c r="Q162" s="1123"/>
      <c r="R162" s="400"/>
      <c r="S162" s="400"/>
      <c r="T162" s="902">
        <f t="shared" si="18"/>
        <v>32</v>
      </c>
      <c r="U162" s="189"/>
    </row>
    <row r="163" spans="1:21" ht="30">
      <c r="A163" s="854">
        <v>154</v>
      </c>
      <c r="B163" s="854" t="s">
        <v>2625</v>
      </c>
      <c r="C163" s="854" t="s">
        <v>2626</v>
      </c>
      <c r="D163" s="837">
        <v>16</v>
      </c>
      <c r="E163" s="836" t="s">
        <v>286</v>
      </c>
      <c r="F163" s="854"/>
      <c r="G163" s="844">
        <v>4</v>
      </c>
      <c r="H163" s="845">
        <v>4</v>
      </c>
      <c r="I163" s="845">
        <v>4</v>
      </c>
      <c r="J163" s="846">
        <v>4</v>
      </c>
      <c r="K163" s="382">
        <v>550000</v>
      </c>
      <c r="L163" s="489">
        <f t="shared" si="17"/>
        <v>8800000</v>
      </c>
      <c r="M163" s="489">
        <f t="shared" si="13"/>
        <v>2200000</v>
      </c>
      <c r="N163" s="489">
        <f t="shared" si="14"/>
        <v>2200000</v>
      </c>
      <c r="O163" s="489">
        <f t="shared" si="16"/>
        <v>2200000</v>
      </c>
      <c r="P163" s="489">
        <f t="shared" si="15"/>
        <v>2200000</v>
      </c>
      <c r="Q163" s="1123"/>
      <c r="R163" s="400"/>
      <c r="S163" s="400"/>
      <c r="T163" s="902">
        <f t="shared" si="18"/>
        <v>16</v>
      </c>
      <c r="U163" s="189"/>
    </row>
    <row r="164" spans="1:21" ht="30">
      <c r="A164" s="854">
        <v>155</v>
      </c>
      <c r="B164" s="854" t="s">
        <v>2627</v>
      </c>
      <c r="C164" s="854" t="s">
        <v>2628</v>
      </c>
      <c r="D164" s="837">
        <v>8</v>
      </c>
      <c r="E164" s="836" t="s">
        <v>286</v>
      </c>
      <c r="F164" s="854"/>
      <c r="G164" s="844">
        <v>2</v>
      </c>
      <c r="H164" s="845">
        <v>2</v>
      </c>
      <c r="I164" s="845">
        <v>2</v>
      </c>
      <c r="J164" s="846">
        <v>2</v>
      </c>
      <c r="K164" s="382">
        <v>350000</v>
      </c>
      <c r="L164" s="489">
        <f t="shared" si="17"/>
        <v>2800000</v>
      </c>
      <c r="M164" s="489">
        <f t="shared" si="13"/>
        <v>700000</v>
      </c>
      <c r="N164" s="489">
        <f t="shared" si="14"/>
        <v>700000</v>
      </c>
      <c r="O164" s="489">
        <f t="shared" si="16"/>
        <v>700000</v>
      </c>
      <c r="P164" s="489">
        <f t="shared" si="15"/>
        <v>700000</v>
      </c>
      <c r="Q164" s="1123"/>
      <c r="R164" s="400"/>
      <c r="S164" s="400"/>
      <c r="T164" s="902">
        <f t="shared" si="18"/>
        <v>8</v>
      </c>
      <c r="U164" s="189"/>
    </row>
    <row r="165" spans="1:21" ht="30">
      <c r="A165" s="854">
        <v>156</v>
      </c>
      <c r="B165" s="854" t="s">
        <v>2629</v>
      </c>
      <c r="C165" s="854" t="s">
        <v>2630</v>
      </c>
      <c r="D165" s="837">
        <v>16</v>
      </c>
      <c r="E165" s="836" t="s">
        <v>286</v>
      </c>
      <c r="F165" s="854"/>
      <c r="G165" s="844">
        <v>4</v>
      </c>
      <c r="H165" s="845">
        <v>4</v>
      </c>
      <c r="I165" s="845">
        <v>4</v>
      </c>
      <c r="J165" s="846">
        <v>4</v>
      </c>
      <c r="K165" s="382">
        <v>270000</v>
      </c>
      <c r="L165" s="489">
        <f t="shared" si="17"/>
        <v>4320000</v>
      </c>
      <c r="M165" s="489">
        <f t="shared" si="13"/>
        <v>1080000</v>
      </c>
      <c r="N165" s="489">
        <f t="shared" si="14"/>
        <v>1080000</v>
      </c>
      <c r="O165" s="489">
        <f t="shared" si="16"/>
        <v>1080000</v>
      </c>
      <c r="P165" s="489">
        <f t="shared" si="15"/>
        <v>1080000</v>
      </c>
      <c r="Q165" s="1123"/>
      <c r="R165" s="400"/>
      <c r="S165" s="400"/>
      <c r="T165" s="902">
        <f t="shared" si="18"/>
        <v>16</v>
      </c>
      <c r="U165" s="189"/>
    </row>
    <row r="166" spans="1:21" ht="30">
      <c r="A166" s="854">
        <v>157</v>
      </c>
      <c r="B166" s="854" t="s">
        <v>2631</v>
      </c>
      <c r="C166" s="854" t="s">
        <v>2632</v>
      </c>
      <c r="D166" s="837">
        <v>8</v>
      </c>
      <c r="E166" s="836" t="s">
        <v>286</v>
      </c>
      <c r="F166" s="854"/>
      <c r="G166" s="844">
        <v>2</v>
      </c>
      <c r="H166" s="845">
        <v>2</v>
      </c>
      <c r="I166" s="845">
        <v>2</v>
      </c>
      <c r="J166" s="846">
        <v>2</v>
      </c>
      <c r="K166" s="382">
        <v>375000</v>
      </c>
      <c r="L166" s="489">
        <f t="shared" si="17"/>
        <v>3000000</v>
      </c>
      <c r="M166" s="489">
        <f t="shared" si="13"/>
        <v>750000</v>
      </c>
      <c r="N166" s="489">
        <f t="shared" si="14"/>
        <v>750000</v>
      </c>
      <c r="O166" s="489">
        <f t="shared" si="16"/>
        <v>750000</v>
      </c>
      <c r="P166" s="489">
        <f t="shared" si="15"/>
        <v>750000</v>
      </c>
      <c r="Q166" s="1123"/>
      <c r="R166" s="400"/>
      <c r="S166" s="400"/>
      <c r="T166" s="902">
        <f t="shared" si="18"/>
        <v>8</v>
      </c>
      <c r="U166" s="189"/>
    </row>
    <row r="167" spans="1:21" ht="30">
      <c r="A167" s="854">
        <v>158</v>
      </c>
      <c r="B167" s="854" t="s">
        <v>2633</v>
      </c>
      <c r="C167" s="854" t="s">
        <v>2634</v>
      </c>
      <c r="D167" s="837">
        <v>50</v>
      </c>
      <c r="E167" s="836" t="s">
        <v>286</v>
      </c>
      <c r="F167" s="854"/>
      <c r="G167" s="844">
        <v>12</v>
      </c>
      <c r="H167" s="845">
        <v>13</v>
      </c>
      <c r="I167" s="845">
        <v>13</v>
      </c>
      <c r="J167" s="846">
        <v>12</v>
      </c>
      <c r="K167" s="382">
        <v>220000</v>
      </c>
      <c r="L167" s="489">
        <f t="shared" si="17"/>
        <v>11000000</v>
      </c>
      <c r="M167" s="489">
        <f t="shared" si="13"/>
        <v>2640000</v>
      </c>
      <c r="N167" s="489">
        <f t="shared" si="14"/>
        <v>2860000</v>
      </c>
      <c r="O167" s="489">
        <f t="shared" si="16"/>
        <v>2860000</v>
      </c>
      <c r="P167" s="489">
        <f t="shared" si="15"/>
        <v>2640000</v>
      </c>
      <c r="Q167" s="1123"/>
      <c r="R167" s="400"/>
      <c r="S167" s="400"/>
      <c r="T167" s="902">
        <f t="shared" si="18"/>
        <v>50</v>
      </c>
      <c r="U167" s="189"/>
    </row>
    <row r="168" spans="1:21" ht="30">
      <c r="A168" s="854">
        <v>159</v>
      </c>
      <c r="B168" s="854" t="s">
        <v>2635</v>
      </c>
      <c r="C168" s="854" t="s">
        <v>2636</v>
      </c>
      <c r="D168" s="837">
        <v>112</v>
      </c>
      <c r="E168" s="836" t="s">
        <v>286</v>
      </c>
      <c r="F168" s="854"/>
      <c r="G168" s="844">
        <v>28</v>
      </c>
      <c r="H168" s="845">
        <v>28</v>
      </c>
      <c r="I168" s="845">
        <v>28</v>
      </c>
      <c r="J168" s="846">
        <v>28</v>
      </c>
      <c r="K168" s="382">
        <v>200000</v>
      </c>
      <c r="L168" s="489">
        <f t="shared" si="17"/>
        <v>22400000</v>
      </c>
      <c r="M168" s="489">
        <f t="shared" si="13"/>
        <v>5600000</v>
      </c>
      <c r="N168" s="489">
        <f t="shared" si="14"/>
        <v>5600000</v>
      </c>
      <c r="O168" s="489">
        <f t="shared" si="16"/>
        <v>5600000</v>
      </c>
      <c r="P168" s="489">
        <f t="shared" si="15"/>
        <v>5600000</v>
      </c>
      <c r="Q168" s="1123"/>
      <c r="R168" s="400"/>
      <c r="S168" s="400"/>
      <c r="T168" s="902">
        <f t="shared" si="18"/>
        <v>112</v>
      </c>
      <c r="U168" s="189"/>
    </row>
    <row r="169" spans="1:21" ht="30">
      <c r="A169" s="854">
        <v>160</v>
      </c>
      <c r="B169" s="854" t="s">
        <v>2637</v>
      </c>
      <c r="C169" s="854" t="s">
        <v>2638</v>
      </c>
      <c r="D169" s="837">
        <v>44</v>
      </c>
      <c r="E169" s="836" t="s">
        <v>286</v>
      </c>
      <c r="F169" s="854"/>
      <c r="G169" s="844">
        <v>11</v>
      </c>
      <c r="H169" s="845">
        <v>11</v>
      </c>
      <c r="I169" s="845">
        <v>11</v>
      </c>
      <c r="J169" s="846">
        <v>11</v>
      </c>
      <c r="K169" s="382">
        <v>350000</v>
      </c>
      <c r="L169" s="489">
        <f t="shared" si="17"/>
        <v>15400000</v>
      </c>
      <c r="M169" s="489">
        <f t="shared" si="13"/>
        <v>3850000</v>
      </c>
      <c r="N169" s="489">
        <f t="shared" si="14"/>
        <v>3850000</v>
      </c>
      <c r="O169" s="489">
        <f t="shared" si="16"/>
        <v>3850000</v>
      </c>
      <c r="P169" s="489">
        <f t="shared" si="15"/>
        <v>3850000</v>
      </c>
      <c r="Q169" s="1123"/>
      <c r="R169" s="400"/>
      <c r="S169" s="400"/>
      <c r="T169" s="902">
        <f t="shared" si="18"/>
        <v>44</v>
      </c>
      <c r="U169" s="189"/>
    </row>
    <row r="170" spans="1:21" ht="30">
      <c r="A170" s="854">
        <v>161</v>
      </c>
      <c r="B170" s="854" t="s">
        <v>2639</v>
      </c>
      <c r="C170" s="854" t="s">
        <v>2640</v>
      </c>
      <c r="D170" s="837">
        <v>18</v>
      </c>
      <c r="E170" s="836" t="s">
        <v>286</v>
      </c>
      <c r="F170" s="854"/>
      <c r="G170" s="844">
        <v>4</v>
      </c>
      <c r="H170" s="845">
        <v>5</v>
      </c>
      <c r="I170" s="845">
        <v>5</v>
      </c>
      <c r="J170" s="846">
        <v>4</v>
      </c>
      <c r="K170" s="382">
        <v>340000</v>
      </c>
      <c r="L170" s="489">
        <f t="shared" si="17"/>
        <v>6120000</v>
      </c>
      <c r="M170" s="489">
        <f t="shared" si="13"/>
        <v>1360000</v>
      </c>
      <c r="N170" s="489">
        <f t="shared" si="14"/>
        <v>1700000</v>
      </c>
      <c r="O170" s="489">
        <f t="shared" si="16"/>
        <v>1700000</v>
      </c>
      <c r="P170" s="489">
        <f t="shared" si="15"/>
        <v>1360000</v>
      </c>
      <c r="Q170" s="1123"/>
      <c r="R170" s="400"/>
      <c r="S170" s="400"/>
      <c r="T170" s="902">
        <f t="shared" si="18"/>
        <v>18</v>
      </c>
      <c r="U170" s="189"/>
    </row>
    <row r="171" spans="1:21" ht="30">
      <c r="A171" s="854">
        <v>162</v>
      </c>
      <c r="B171" s="854" t="s">
        <v>2641</v>
      </c>
      <c r="C171" s="854" t="s">
        <v>2642</v>
      </c>
      <c r="D171" s="837">
        <v>28</v>
      </c>
      <c r="E171" s="836" t="s">
        <v>286</v>
      </c>
      <c r="F171" s="854"/>
      <c r="G171" s="844">
        <v>7</v>
      </c>
      <c r="H171" s="845">
        <v>7</v>
      </c>
      <c r="I171" s="845">
        <v>7</v>
      </c>
      <c r="J171" s="846">
        <v>7</v>
      </c>
      <c r="K171" s="382">
        <v>300000</v>
      </c>
      <c r="L171" s="489">
        <f t="shared" si="17"/>
        <v>8400000</v>
      </c>
      <c r="M171" s="489">
        <f t="shared" si="13"/>
        <v>2100000</v>
      </c>
      <c r="N171" s="489">
        <f t="shared" si="14"/>
        <v>2100000</v>
      </c>
      <c r="O171" s="489">
        <f t="shared" si="16"/>
        <v>2100000</v>
      </c>
      <c r="P171" s="489">
        <f t="shared" si="15"/>
        <v>2100000</v>
      </c>
      <c r="Q171" s="1123"/>
      <c r="R171" s="400"/>
      <c r="S171" s="400"/>
      <c r="T171" s="902">
        <f t="shared" si="18"/>
        <v>28</v>
      </c>
      <c r="U171" s="189"/>
    </row>
    <row r="172" spans="1:21" ht="30">
      <c r="A172" s="854">
        <v>163</v>
      </c>
      <c r="B172" s="854" t="s">
        <v>2643</v>
      </c>
      <c r="C172" s="854" t="s">
        <v>2644</v>
      </c>
      <c r="D172" s="837">
        <v>16</v>
      </c>
      <c r="E172" s="836" t="s">
        <v>286</v>
      </c>
      <c r="F172" s="854"/>
      <c r="G172" s="844">
        <v>4</v>
      </c>
      <c r="H172" s="845">
        <v>4</v>
      </c>
      <c r="I172" s="845">
        <v>4</v>
      </c>
      <c r="J172" s="846">
        <v>4</v>
      </c>
      <c r="K172" s="382">
        <v>450000</v>
      </c>
      <c r="L172" s="489">
        <f t="shared" si="17"/>
        <v>7200000</v>
      </c>
      <c r="M172" s="489">
        <f t="shared" si="13"/>
        <v>1800000</v>
      </c>
      <c r="N172" s="489">
        <f t="shared" si="14"/>
        <v>1800000</v>
      </c>
      <c r="O172" s="489">
        <f t="shared" si="16"/>
        <v>1800000</v>
      </c>
      <c r="P172" s="489">
        <f t="shared" si="15"/>
        <v>1800000</v>
      </c>
      <c r="Q172" s="1123"/>
      <c r="R172" s="400"/>
      <c r="S172" s="400"/>
      <c r="T172" s="902">
        <f t="shared" si="18"/>
        <v>16</v>
      </c>
      <c r="U172" s="189"/>
    </row>
    <row r="173" spans="1:21">
      <c r="A173" s="854">
        <v>164</v>
      </c>
      <c r="B173" s="854" t="s">
        <v>2645</v>
      </c>
      <c r="C173" s="854" t="s">
        <v>2646</v>
      </c>
      <c r="D173" s="837">
        <v>16</v>
      </c>
      <c r="E173" s="836" t="s">
        <v>286</v>
      </c>
      <c r="F173" s="854"/>
      <c r="G173" s="844">
        <v>4</v>
      </c>
      <c r="H173" s="845">
        <v>4</v>
      </c>
      <c r="I173" s="845">
        <v>4</v>
      </c>
      <c r="J173" s="846">
        <v>4</v>
      </c>
      <c r="K173" s="382">
        <v>81250</v>
      </c>
      <c r="L173" s="489">
        <f t="shared" si="17"/>
        <v>1300000</v>
      </c>
      <c r="M173" s="489">
        <f t="shared" si="13"/>
        <v>325000</v>
      </c>
      <c r="N173" s="489">
        <f t="shared" si="14"/>
        <v>325000</v>
      </c>
      <c r="O173" s="489">
        <f t="shared" si="16"/>
        <v>325000</v>
      </c>
      <c r="P173" s="489">
        <f t="shared" si="15"/>
        <v>325000</v>
      </c>
      <c r="Q173" s="1123"/>
      <c r="R173" s="400"/>
      <c r="S173" s="400"/>
      <c r="T173" s="902">
        <f t="shared" si="18"/>
        <v>16</v>
      </c>
      <c r="U173" s="189"/>
    </row>
    <row r="174" spans="1:21">
      <c r="A174" s="854">
        <v>165</v>
      </c>
      <c r="B174" s="854" t="s">
        <v>2471</v>
      </c>
      <c r="C174" s="854" t="s">
        <v>2647</v>
      </c>
      <c r="D174" s="837">
        <v>16</v>
      </c>
      <c r="E174" s="836" t="s">
        <v>286</v>
      </c>
      <c r="F174" s="854"/>
      <c r="G174" s="844">
        <v>4</v>
      </c>
      <c r="H174" s="845">
        <v>4</v>
      </c>
      <c r="I174" s="845">
        <v>4</v>
      </c>
      <c r="J174" s="846">
        <v>4</v>
      </c>
      <c r="K174" s="382">
        <v>87500</v>
      </c>
      <c r="L174" s="489">
        <f t="shared" si="17"/>
        <v>1400000</v>
      </c>
      <c r="M174" s="489">
        <f t="shared" si="13"/>
        <v>350000</v>
      </c>
      <c r="N174" s="489">
        <f t="shared" si="14"/>
        <v>350000</v>
      </c>
      <c r="O174" s="489">
        <f t="shared" si="16"/>
        <v>350000</v>
      </c>
      <c r="P174" s="489">
        <f t="shared" si="15"/>
        <v>350000</v>
      </c>
      <c r="Q174" s="1123"/>
      <c r="R174" s="400"/>
      <c r="S174" s="400"/>
      <c r="T174" s="902">
        <f t="shared" si="18"/>
        <v>16</v>
      </c>
      <c r="U174" s="189"/>
    </row>
    <row r="175" spans="1:21" ht="30">
      <c r="A175" s="854">
        <v>166</v>
      </c>
      <c r="B175" s="854" t="s">
        <v>2648</v>
      </c>
      <c r="C175" s="854" t="s">
        <v>2649</v>
      </c>
      <c r="D175" s="837">
        <v>16</v>
      </c>
      <c r="E175" s="836" t="s">
        <v>286</v>
      </c>
      <c r="F175" s="854"/>
      <c r="G175" s="844">
        <v>4</v>
      </c>
      <c r="H175" s="845">
        <v>4</v>
      </c>
      <c r="I175" s="845">
        <v>4</v>
      </c>
      <c r="J175" s="846">
        <v>4</v>
      </c>
      <c r="K175" s="382">
        <v>75000</v>
      </c>
      <c r="L175" s="489">
        <f t="shared" si="17"/>
        <v>1200000</v>
      </c>
      <c r="M175" s="489">
        <f t="shared" si="13"/>
        <v>300000</v>
      </c>
      <c r="N175" s="489">
        <f t="shared" si="14"/>
        <v>300000</v>
      </c>
      <c r="O175" s="489">
        <f t="shared" si="16"/>
        <v>300000</v>
      </c>
      <c r="P175" s="489">
        <f t="shared" si="15"/>
        <v>300000</v>
      </c>
      <c r="Q175" s="1123"/>
      <c r="R175" s="400"/>
      <c r="S175" s="400"/>
      <c r="T175" s="902">
        <f t="shared" si="18"/>
        <v>16</v>
      </c>
      <c r="U175" s="189"/>
    </row>
    <row r="176" spans="1:21" ht="30">
      <c r="A176" s="854">
        <v>167</v>
      </c>
      <c r="B176" s="854" t="s">
        <v>2650</v>
      </c>
      <c r="C176" s="854" t="s">
        <v>2651</v>
      </c>
      <c r="D176" s="837">
        <v>4</v>
      </c>
      <c r="E176" s="836" t="s">
        <v>286</v>
      </c>
      <c r="F176" s="854"/>
      <c r="G176" s="844">
        <v>1</v>
      </c>
      <c r="H176" s="845">
        <v>1</v>
      </c>
      <c r="I176" s="845">
        <v>1</v>
      </c>
      <c r="J176" s="846">
        <v>1</v>
      </c>
      <c r="K176" s="382">
        <v>67000</v>
      </c>
      <c r="L176" s="489">
        <f t="shared" si="17"/>
        <v>268000</v>
      </c>
      <c r="M176" s="489">
        <f t="shared" si="13"/>
        <v>67000</v>
      </c>
      <c r="N176" s="489">
        <f t="shared" si="14"/>
        <v>67000</v>
      </c>
      <c r="O176" s="489">
        <f t="shared" si="16"/>
        <v>67000</v>
      </c>
      <c r="P176" s="489">
        <f t="shared" si="15"/>
        <v>67000</v>
      </c>
      <c r="Q176" s="1123"/>
      <c r="R176" s="400"/>
      <c r="S176" s="400"/>
      <c r="T176" s="902">
        <f t="shared" si="18"/>
        <v>4</v>
      </c>
      <c r="U176" s="189"/>
    </row>
    <row r="177" spans="1:21">
      <c r="A177" s="854">
        <v>168</v>
      </c>
      <c r="B177" s="854" t="s">
        <v>2652</v>
      </c>
      <c r="C177" s="854" t="s">
        <v>2653</v>
      </c>
      <c r="D177" s="837">
        <v>8</v>
      </c>
      <c r="E177" s="836" t="s">
        <v>286</v>
      </c>
      <c r="F177" s="854"/>
      <c r="G177" s="844">
        <v>2</v>
      </c>
      <c r="H177" s="845">
        <v>2</v>
      </c>
      <c r="I177" s="845">
        <v>2</v>
      </c>
      <c r="J177" s="846">
        <v>2</v>
      </c>
      <c r="K177" s="382">
        <v>75250</v>
      </c>
      <c r="L177" s="489">
        <f t="shared" si="17"/>
        <v>602000</v>
      </c>
      <c r="M177" s="489">
        <f t="shared" si="13"/>
        <v>150500</v>
      </c>
      <c r="N177" s="489">
        <f t="shared" si="14"/>
        <v>150500</v>
      </c>
      <c r="O177" s="489">
        <f t="shared" si="16"/>
        <v>150500</v>
      </c>
      <c r="P177" s="489">
        <f t="shared" si="15"/>
        <v>150500</v>
      </c>
      <c r="Q177" s="1123"/>
      <c r="R177" s="400"/>
      <c r="S177" s="400"/>
      <c r="T177" s="902">
        <f t="shared" si="18"/>
        <v>8</v>
      </c>
      <c r="U177" s="189"/>
    </row>
    <row r="178" spans="1:21" ht="30">
      <c r="A178" s="854">
        <v>169</v>
      </c>
      <c r="B178" s="854" t="s">
        <v>2654</v>
      </c>
      <c r="C178" s="854" t="s">
        <v>2655</v>
      </c>
      <c r="D178" s="837">
        <v>8</v>
      </c>
      <c r="E178" s="836" t="s">
        <v>286</v>
      </c>
      <c r="F178" s="854"/>
      <c r="G178" s="844">
        <v>2</v>
      </c>
      <c r="H178" s="845">
        <v>2</v>
      </c>
      <c r="I178" s="845">
        <v>2</v>
      </c>
      <c r="J178" s="846">
        <v>2</v>
      </c>
      <c r="K178" s="382">
        <v>125000</v>
      </c>
      <c r="L178" s="489">
        <f t="shared" si="17"/>
        <v>1000000</v>
      </c>
      <c r="M178" s="489">
        <f t="shared" si="13"/>
        <v>250000</v>
      </c>
      <c r="N178" s="489">
        <f t="shared" si="14"/>
        <v>250000</v>
      </c>
      <c r="O178" s="489">
        <f t="shared" si="16"/>
        <v>250000</v>
      </c>
      <c r="P178" s="489">
        <f t="shared" si="15"/>
        <v>250000</v>
      </c>
      <c r="Q178" s="1123"/>
      <c r="R178" s="400"/>
      <c r="S178" s="400"/>
      <c r="T178" s="902">
        <f t="shared" si="18"/>
        <v>8</v>
      </c>
      <c r="U178" s="189"/>
    </row>
    <row r="179" spans="1:21">
      <c r="A179" s="854">
        <v>170</v>
      </c>
      <c r="B179" s="854" t="s">
        <v>2656</v>
      </c>
      <c r="C179" s="854" t="s">
        <v>2657</v>
      </c>
      <c r="D179" s="837">
        <v>8</v>
      </c>
      <c r="E179" s="836" t="s">
        <v>286</v>
      </c>
      <c r="F179" s="854"/>
      <c r="G179" s="844">
        <v>3</v>
      </c>
      <c r="H179" s="845">
        <v>1</v>
      </c>
      <c r="I179" s="845">
        <v>3</v>
      </c>
      <c r="J179" s="846">
        <v>1</v>
      </c>
      <c r="K179" s="382">
        <v>71000</v>
      </c>
      <c r="L179" s="489">
        <f t="shared" si="17"/>
        <v>568000</v>
      </c>
      <c r="M179" s="489">
        <f t="shared" si="13"/>
        <v>213000</v>
      </c>
      <c r="N179" s="489">
        <f t="shared" si="14"/>
        <v>71000</v>
      </c>
      <c r="O179" s="489">
        <f t="shared" si="16"/>
        <v>213000</v>
      </c>
      <c r="P179" s="489">
        <f t="shared" si="15"/>
        <v>71000</v>
      </c>
      <c r="Q179" s="1123"/>
      <c r="R179" s="400"/>
      <c r="S179" s="400"/>
      <c r="T179" s="902">
        <f t="shared" si="18"/>
        <v>8</v>
      </c>
      <c r="U179" s="189"/>
    </row>
    <row r="180" spans="1:21">
      <c r="A180" s="854">
        <v>171</v>
      </c>
      <c r="B180" s="854" t="s">
        <v>2658</v>
      </c>
      <c r="C180" s="854" t="s">
        <v>2659</v>
      </c>
      <c r="D180" s="837">
        <v>4</v>
      </c>
      <c r="E180" s="836" t="s">
        <v>286</v>
      </c>
      <c r="F180" s="854"/>
      <c r="G180" s="844">
        <v>1</v>
      </c>
      <c r="H180" s="845">
        <v>1</v>
      </c>
      <c r="I180" s="845">
        <v>1</v>
      </c>
      <c r="J180" s="846">
        <v>1</v>
      </c>
      <c r="K180" s="382">
        <v>35000</v>
      </c>
      <c r="L180" s="489">
        <f t="shared" si="17"/>
        <v>140000</v>
      </c>
      <c r="M180" s="489">
        <f t="shared" si="13"/>
        <v>35000</v>
      </c>
      <c r="N180" s="489">
        <f t="shared" si="14"/>
        <v>35000</v>
      </c>
      <c r="O180" s="489">
        <f t="shared" si="16"/>
        <v>35000</v>
      </c>
      <c r="P180" s="489">
        <f t="shared" si="15"/>
        <v>35000</v>
      </c>
      <c r="Q180" s="1123"/>
      <c r="R180" s="400"/>
      <c r="S180" s="400"/>
      <c r="T180" s="902">
        <f t="shared" si="18"/>
        <v>4</v>
      </c>
      <c r="U180" s="189"/>
    </row>
    <row r="181" spans="1:21">
      <c r="A181" s="854">
        <v>172</v>
      </c>
      <c r="B181" s="854" t="s">
        <v>2660</v>
      </c>
      <c r="C181" s="854" t="s">
        <v>2661</v>
      </c>
      <c r="D181" s="837">
        <v>8</v>
      </c>
      <c r="E181" s="836" t="s">
        <v>286</v>
      </c>
      <c r="F181" s="854"/>
      <c r="G181" s="844">
        <v>2</v>
      </c>
      <c r="H181" s="845">
        <v>2</v>
      </c>
      <c r="I181" s="845">
        <v>2</v>
      </c>
      <c r="J181" s="846">
        <v>2</v>
      </c>
      <c r="K181" s="382">
        <v>101450</v>
      </c>
      <c r="L181" s="489">
        <f t="shared" si="17"/>
        <v>811600</v>
      </c>
      <c r="M181" s="489">
        <f t="shared" si="13"/>
        <v>202900</v>
      </c>
      <c r="N181" s="489">
        <f t="shared" si="14"/>
        <v>202900</v>
      </c>
      <c r="O181" s="489">
        <f t="shared" si="16"/>
        <v>202900</v>
      </c>
      <c r="P181" s="489">
        <f t="shared" si="15"/>
        <v>202900</v>
      </c>
      <c r="Q181" s="1123"/>
      <c r="R181" s="400"/>
      <c r="S181" s="400"/>
      <c r="T181" s="902">
        <f t="shared" si="18"/>
        <v>8</v>
      </c>
      <c r="U181" s="189"/>
    </row>
    <row r="182" spans="1:21">
      <c r="A182" s="854">
        <v>173</v>
      </c>
      <c r="B182" s="854" t="s">
        <v>2662</v>
      </c>
      <c r="C182" s="854" t="s">
        <v>2663</v>
      </c>
      <c r="D182" s="837">
        <v>4</v>
      </c>
      <c r="E182" s="836" t="s">
        <v>286</v>
      </c>
      <c r="F182" s="854"/>
      <c r="G182" s="844">
        <v>1</v>
      </c>
      <c r="H182" s="845">
        <v>1</v>
      </c>
      <c r="I182" s="845">
        <v>1</v>
      </c>
      <c r="J182" s="846">
        <v>1</v>
      </c>
      <c r="K182" s="382">
        <v>74850</v>
      </c>
      <c r="L182" s="489">
        <f t="shared" si="17"/>
        <v>299400</v>
      </c>
      <c r="M182" s="489">
        <f t="shared" si="13"/>
        <v>74850</v>
      </c>
      <c r="N182" s="489">
        <f t="shared" si="14"/>
        <v>74850</v>
      </c>
      <c r="O182" s="489">
        <f t="shared" si="16"/>
        <v>74850</v>
      </c>
      <c r="P182" s="489">
        <f t="shared" si="15"/>
        <v>74850</v>
      </c>
      <c r="Q182" s="1123"/>
      <c r="R182" s="400"/>
      <c r="S182" s="400"/>
      <c r="T182" s="902">
        <f t="shared" si="18"/>
        <v>4</v>
      </c>
      <c r="U182" s="189"/>
    </row>
    <row r="183" spans="1:21">
      <c r="A183" s="854">
        <v>174</v>
      </c>
      <c r="B183" s="854" t="s">
        <v>2664</v>
      </c>
      <c r="C183" s="854" t="s">
        <v>2665</v>
      </c>
      <c r="D183" s="837">
        <v>8</v>
      </c>
      <c r="E183" s="836" t="s">
        <v>286</v>
      </c>
      <c r="F183" s="854"/>
      <c r="G183" s="844">
        <v>3</v>
      </c>
      <c r="H183" s="845">
        <v>1</v>
      </c>
      <c r="I183" s="845">
        <v>3</v>
      </c>
      <c r="J183" s="846">
        <v>1</v>
      </c>
      <c r="K183" s="382">
        <v>655000</v>
      </c>
      <c r="L183" s="489">
        <f t="shared" si="17"/>
        <v>5240000</v>
      </c>
      <c r="M183" s="489">
        <f t="shared" si="13"/>
        <v>1965000</v>
      </c>
      <c r="N183" s="489">
        <f t="shared" si="14"/>
        <v>655000</v>
      </c>
      <c r="O183" s="489">
        <f t="shared" si="16"/>
        <v>1965000</v>
      </c>
      <c r="P183" s="489">
        <f t="shared" si="15"/>
        <v>655000</v>
      </c>
      <c r="Q183" s="1123"/>
      <c r="R183" s="400"/>
      <c r="S183" s="400"/>
      <c r="T183" s="902">
        <f t="shared" si="18"/>
        <v>8</v>
      </c>
      <c r="U183" s="189"/>
    </row>
    <row r="184" spans="1:21">
      <c r="A184" s="854">
        <v>175</v>
      </c>
      <c r="B184" s="854" t="s">
        <v>2666</v>
      </c>
      <c r="C184" s="854" t="s">
        <v>2667</v>
      </c>
      <c r="D184" s="837">
        <v>4</v>
      </c>
      <c r="E184" s="836" t="s">
        <v>286</v>
      </c>
      <c r="F184" s="854"/>
      <c r="G184" s="844">
        <v>1</v>
      </c>
      <c r="H184" s="845">
        <v>1</v>
      </c>
      <c r="I184" s="845">
        <v>1</v>
      </c>
      <c r="J184" s="846">
        <v>1</v>
      </c>
      <c r="K184" s="382">
        <v>81900</v>
      </c>
      <c r="L184" s="489">
        <f t="shared" si="17"/>
        <v>327600</v>
      </c>
      <c r="M184" s="489">
        <f t="shared" si="13"/>
        <v>81900</v>
      </c>
      <c r="N184" s="489">
        <f t="shared" si="14"/>
        <v>81900</v>
      </c>
      <c r="O184" s="489">
        <f t="shared" si="16"/>
        <v>81900</v>
      </c>
      <c r="P184" s="489">
        <f t="shared" si="15"/>
        <v>81900</v>
      </c>
      <c r="Q184" s="1123"/>
      <c r="R184" s="400"/>
      <c r="S184" s="400"/>
      <c r="T184" s="902">
        <f t="shared" si="18"/>
        <v>4</v>
      </c>
      <c r="U184" s="189"/>
    </row>
    <row r="185" spans="1:21">
      <c r="A185" s="854">
        <v>176</v>
      </c>
      <c r="B185" s="854">
        <v>4301</v>
      </c>
      <c r="C185" s="854" t="s">
        <v>2668</v>
      </c>
      <c r="D185" s="837">
        <v>4</v>
      </c>
      <c r="E185" s="836" t="s">
        <v>286</v>
      </c>
      <c r="F185" s="854"/>
      <c r="G185" s="844">
        <v>1</v>
      </c>
      <c r="H185" s="845">
        <v>1</v>
      </c>
      <c r="I185" s="845">
        <v>1</v>
      </c>
      <c r="J185" s="846">
        <v>1</v>
      </c>
      <c r="K185" s="382">
        <v>347500</v>
      </c>
      <c r="L185" s="489">
        <f t="shared" si="17"/>
        <v>1390000</v>
      </c>
      <c r="M185" s="489">
        <f t="shared" si="13"/>
        <v>347500</v>
      </c>
      <c r="N185" s="489">
        <f t="shared" si="14"/>
        <v>347500</v>
      </c>
      <c r="O185" s="489">
        <f t="shared" si="16"/>
        <v>347500</v>
      </c>
      <c r="P185" s="489">
        <f t="shared" si="15"/>
        <v>347500</v>
      </c>
      <c r="Q185" s="1123"/>
      <c r="R185" s="400"/>
      <c r="S185" s="400"/>
      <c r="T185" s="902">
        <f t="shared" si="18"/>
        <v>4</v>
      </c>
      <c r="U185" s="189"/>
    </row>
    <row r="186" spans="1:21">
      <c r="A186" s="854">
        <v>177</v>
      </c>
      <c r="B186" s="854" t="s">
        <v>2669</v>
      </c>
      <c r="C186" s="854" t="s">
        <v>2670</v>
      </c>
      <c r="D186" s="837">
        <v>8</v>
      </c>
      <c r="E186" s="836" t="s">
        <v>286</v>
      </c>
      <c r="F186" s="854"/>
      <c r="G186" s="844">
        <v>3</v>
      </c>
      <c r="H186" s="845">
        <v>1</v>
      </c>
      <c r="I186" s="845">
        <v>3</v>
      </c>
      <c r="J186" s="846">
        <v>1</v>
      </c>
      <c r="K186" s="382"/>
      <c r="L186" s="489">
        <f t="shared" si="17"/>
        <v>0</v>
      </c>
      <c r="M186" s="489">
        <f t="shared" ref="M186:M203" si="19">K186*G186</f>
        <v>0</v>
      </c>
      <c r="N186" s="489">
        <f t="shared" ref="N186:N203" si="20">K186*H186</f>
        <v>0</v>
      </c>
      <c r="O186" s="489">
        <f t="shared" si="16"/>
        <v>0</v>
      </c>
      <c r="P186" s="489">
        <f t="shared" ref="P186:P203" si="21">K186*J186</f>
        <v>0</v>
      </c>
      <c r="Q186" s="1123"/>
      <c r="R186" s="400"/>
      <c r="S186" s="400"/>
      <c r="T186" s="902">
        <f t="shared" si="18"/>
        <v>8</v>
      </c>
      <c r="U186" s="189"/>
    </row>
    <row r="187" spans="1:21">
      <c r="A187" s="854">
        <v>178</v>
      </c>
      <c r="B187" s="854">
        <v>25183779</v>
      </c>
      <c r="C187" s="854" t="s">
        <v>2671</v>
      </c>
      <c r="D187" s="837">
        <v>160</v>
      </c>
      <c r="E187" s="836" t="s">
        <v>286</v>
      </c>
      <c r="F187" s="854"/>
      <c r="G187" s="844">
        <v>40</v>
      </c>
      <c r="H187" s="845">
        <v>40</v>
      </c>
      <c r="I187" s="845">
        <v>40</v>
      </c>
      <c r="J187" s="846">
        <v>40</v>
      </c>
      <c r="K187" s="382">
        <v>49000</v>
      </c>
      <c r="L187" s="489">
        <f t="shared" si="17"/>
        <v>7840000</v>
      </c>
      <c r="M187" s="489">
        <f t="shared" si="19"/>
        <v>1960000</v>
      </c>
      <c r="N187" s="489">
        <f t="shared" si="20"/>
        <v>1960000</v>
      </c>
      <c r="O187" s="489">
        <f t="shared" si="16"/>
        <v>1960000</v>
      </c>
      <c r="P187" s="489">
        <f t="shared" si="21"/>
        <v>1960000</v>
      </c>
      <c r="Q187" s="1123"/>
      <c r="R187" s="400"/>
      <c r="S187" s="400"/>
      <c r="T187" s="902">
        <f t="shared" si="18"/>
        <v>160</v>
      </c>
      <c r="U187" s="189"/>
    </row>
    <row r="188" spans="1:21">
      <c r="A188" s="854">
        <v>179</v>
      </c>
      <c r="B188" s="854" t="s">
        <v>2672</v>
      </c>
      <c r="C188" s="854" t="s">
        <v>2673</v>
      </c>
      <c r="D188" s="837">
        <v>160</v>
      </c>
      <c r="E188" s="836" t="s">
        <v>286</v>
      </c>
      <c r="F188" s="854"/>
      <c r="G188" s="844">
        <v>40</v>
      </c>
      <c r="H188" s="845">
        <v>40</v>
      </c>
      <c r="I188" s="845">
        <v>40</v>
      </c>
      <c r="J188" s="846">
        <v>40</v>
      </c>
      <c r="K188" s="382">
        <v>45000</v>
      </c>
      <c r="L188" s="489">
        <f t="shared" si="17"/>
        <v>7200000</v>
      </c>
      <c r="M188" s="489">
        <f t="shared" si="19"/>
        <v>1800000</v>
      </c>
      <c r="N188" s="489">
        <f t="shared" si="20"/>
        <v>1800000</v>
      </c>
      <c r="O188" s="489">
        <f t="shared" ref="O188:O203" si="22">K188*I188</f>
        <v>1800000</v>
      </c>
      <c r="P188" s="489">
        <f t="shared" si="21"/>
        <v>1800000</v>
      </c>
      <c r="Q188" s="1123"/>
      <c r="R188" s="400"/>
      <c r="S188" s="400"/>
      <c r="T188" s="902">
        <f t="shared" si="18"/>
        <v>160</v>
      </c>
      <c r="U188" s="189"/>
    </row>
    <row r="189" spans="1:21">
      <c r="A189" s="854">
        <v>180</v>
      </c>
      <c r="B189" s="854">
        <v>42390024</v>
      </c>
      <c r="C189" s="854" t="s">
        <v>2674</v>
      </c>
      <c r="D189" s="837">
        <v>126</v>
      </c>
      <c r="E189" s="836" t="s">
        <v>286</v>
      </c>
      <c r="F189" s="854"/>
      <c r="G189" s="844">
        <v>36</v>
      </c>
      <c r="H189" s="845">
        <v>36</v>
      </c>
      <c r="I189" s="845">
        <v>27</v>
      </c>
      <c r="J189" s="846">
        <v>27</v>
      </c>
      <c r="K189" s="382">
        <v>43700</v>
      </c>
      <c r="L189" s="489">
        <f t="shared" ref="L189:L203" si="23">K189*D189</f>
        <v>5506200</v>
      </c>
      <c r="M189" s="489">
        <f t="shared" si="19"/>
        <v>1573200</v>
      </c>
      <c r="N189" s="489">
        <f t="shared" si="20"/>
        <v>1573200</v>
      </c>
      <c r="O189" s="489">
        <f t="shared" si="22"/>
        <v>1179900</v>
      </c>
      <c r="P189" s="489">
        <f t="shared" si="21"/>
        <v>1179900</v>
      </c>
      <c r="Q189" s="1123"/>
      <c r="R189" s="400"/>
      <c r="S189" s="400"/>
      <c r="T189" s="902">
        <f t="shared" si="18"/>
        <v>126</v>
      </c>
      <c r="U189" s="189"/>
    </row>
    <row r="190" spans="1:21" ht="75">
      <c r="A190" s="854">
        <v>181</v>
      </c>
      <c r="B190" s="854" t="s">
        <v>2675</v>
      </c>
      <c r="C190" s="854" t="s">
        <v>2676</v>
      </c>
      <c r="D190" s="837">
        <v>925</v>
      </c>
      <c r="E190" s="836" t="s">
        <v>286</v>
      </c>
      <c r="F190" s="854"/>
      <c r="G190" s="844">
        <v>225</v>
      </c>
      <c r="H190" s="845">
        <v>232</v>
      </c>
      <c r="I190" s="845">
        <v>234</v>
      </c>
      <c r="J190" s="846">
        <v>234</v>
      </c>
      <c r="K190" s="382">
        <v>405000</v>
      </c>
      <c r="L190" s="489">
        <f t="shared" si="23"/>
        <v>374625000</v>
      </c>
      <c r="M190" s="489">
        <f t="shared" si="19"/>
        <v>91125000</v>
      </c>
      <c r="N190" s="489">
        <f t="shared" si="20"/>
        <v>93960000</v>
      </c>
      <c r="O190" s="489">
        <f t="shared" si="22"/>
        <v>94770000</v>
      </c>
      <c r="P190" s="489">
        <f t="shared" si="21"/>
        <v>94770000</v>
      </c>
      <c r="Q190" s="1123"/>
      <c r="R190" s="400"/>
      <c r="S190" s="400"/>
      <c r="T190" s="902">
        <f t="shared" si="18"/>
        <v>925</v>
      </c>
      <c r="U190" s="189"/>
    </row>
    <row r="191" spans="1:21" ht="75">
      <c r="A191" s="854">
        <v>182</v>
      </c>
      <c r="B191" s="854" t="s">
        <v>2677</v>
      </c>
      <c r="C191" s="854" t="s">
        <v>2678</v>
      </c>
      <c r="D191" s="837">
        <v>1296</v>
      </c>
      <c r="E191" s="836" t="s">
        <v>286</v>
      </c>
      <c r="F191" s="854"/>
      <c r="G191" s="844">
        <v>319</v>
      </c>
      <c r="H191" s="845">
        <v>328</v>
      </c>
      <c r="I191" s="845">
        <v>330</v>
      </c>
      <c r="J191" s="846">
        <v>319</v>
      </c>
      <c r="K191" s="382">
        <v>222500</v>
      </c>
      <c r="L191" s="489">
        <f t="shared" si="23"/>
        <v>288360000</v>
      </c>
      <c r="M191" s="489">
        <f t="shared" si="19"/>
        <v>70977500</v>
      </c>
      <c r="N191" s="489">
        <f t="shared" si="20"/>
        <v>72980000</v>
      </c>
      <c r="O191" s="489">
        <f t="shared" si="22"/>
        <v>73425000</v>
      </c>
      <c r="P191" s="489">
        <f t="shared" si="21"/>
        <v>70977500</v>
      </c>
      <c r="Q191" s="1123"/>
      <c r="R191" s="400"/>
      <c r="S191" s="400"/>
      <c r="T191" s="902">
        <f t="shared" si="18"/>
        <v>1296</v>
      </c>
      <c r="U191" s="189"/>
    </row>
    <row r="192" spans="1:21" ht="75">
      <c r="A192" s="854">
        <v>183</v>
      </c>
      <c r="B192" s="854" t="s">
        <v>2679</v>
      </c>
      <c r="C192" s="854" t="s">
        <v>2680</v>
      </c>
      <c r="D192" s="837">
        <v>394</v>
      </c>
      <c r="E192" s="836" t="s">
        <v>286</v>
      </c>
      <c r="F192" s="854"/>
      <c r="G192" s="844">
        <v>98</v>
      </c>
      <c r="H192" s="845">
        <v>100</v>
      </c>
      <c r="I192" s="845">
        <v>100</v>
      </c>
      <c r="J192" s="846">
        <v>96</v>
      </c>
      <c r="K192" s="382">
        <v>185000</v>
      </c>
      <c r="L192" s="489">
        <f t="shared" si="23"/>
        <v>72890000</v>
      </c>
      <c r="M192" s="489">
        <f t="shared" si="19"/>
        <v>18130000</v>
      </c>
      <c r="N192" s="489">
        <f t="shared" si="20"/>
        <v>18500000</v>
      </c>
      <c r="O192" s="489">
        <f t="shared" si="22"/>
        <v>18500000</v>
      </c>
      <c r="P192" s="489">
        <f t="shared" si="21"/>
        <v>17760000</v>
      </c>
      <c r="Q192" s="1123"/>
      <c r="R192" s="400"/>
      <c r="S192" s="400"/>
      <c r="T192" s="902">
        <f t="shared" si="18"/>
        <v>394</v>
      </c>
      <c r="U192" s="189"/>
    </row>
    <row r="193" spans="1:21" ht="30">
      <c r="A193" s="854">
        <v>184</v>
      </c>
      <c r="B193" s="836" t="s">
        <v>2681</v>
      </c>
      <c r="C193" s="854" t="s">
        <v>2682</v>
      </c>
      <c r="D193" s="837">
        <v>34</v>
      </c>
      <c r="E193" s="836" t="s">
        <v>286</v>
      </c>
      <c r="F193" s="836"/>
      <c r="G193" s="844">
        <v>9</v>
      </c>
      <c r="H193" s="845">
        <v>8</v>
      </c>
      <c r="I193" s="845">
        <v>9</v>
      </c>
      <c r="J193" s="846">
        <v>8</v>
      </c>
      <c r="K193" s="382">
        <v>110000</v>
      </c>
      <c r="L193" s="489">
        <f t="shared" si="23"/>
        <v>3740000</v>
      </c>
      <c r="M193" s="489">
        <f t="shared" si="19"/>
        <v>990000</v>
      </c>
      <c r="N193" s="489">
        <f t="shared" si="20"/>
        <v>880000</v>
      </c>
      <c r="O193" s="489">
        <f t="shared" si="22"/>
        <v>990000</v>
      </c>
      <c r="P193" s="489">
        <f t="shared" si="21"/>
        <v>880000</v>
      </c>
      <c r="Q193" s="1123"/>
      <c r="R193" s="400"/>
      <c r="S193" s="400"/>
      <c r="T193" s="902">
        <f t="shared" si="18"/>
        <v>34</v>
      </c>
      <c r="U193" s="189"/>
    </row>
    <row r="194" spans="1:21" ht="30">
      <c r="A194" s="854">
        <v>185</v>
      </c>
      <c r="B194" s="836" t="s">
        <v>2683</v>
      </c>
      <c r="C194" s="854" t="s">
        <v>2684</v>
      </c>
      <c r="D194" s="837">
        <v>56</v>
      </c>
      <c r="E194" s="836" t="s">
        <v>286</v>
      </c>
      <c r="F194" s="836"/>
      <c r="G194" s="844">
        <v>14</v>
      </c>
      <c r="H194" s="845">
        <v>14</v>
      </c>
      <c r="I194" s="845">
        <v>15</v>
      </c>
      <c r="J194" s="846">
        <v>13</v>
      </c>
      <c r="K194" s="382">
        <v>100800</v>
      </c>
      <c r="L194" s="489">
        <f t="shared" si="23"/>
        <v>5644800</v>
      </c>
      <c r="M194" s="489">
        <f t="shared" si="19"/>
        <v>1411200</v>
      </c>
      <c r="N194" s="489">
        <f t="shared" si="20"/>
        <v>1411200</v>
      </c>
      <c r="O194" s="489">
        <f t="shared" si="22"/>
        <v>1512000</v>
      </c>
      <c r="P194" s="489">
        <f t="shared" si="21"/>
        <v>1310400</v>
      </c>
      <c r="Q194" s="1123"/>
      <c r="R194" s="400"/>
      <c r="S194" s="400"/>
      <c r="T194" s="902">
        <f t="shared" si="18"/>
        <v>56</v>
      </c>
      <c r="U194" s="189"/>
    </row>
    <row r="195" spans="1:21" ht="30">
      <c r="A195" s="854">
        <v>186</v>
      </c>
      <c r="B195" s="836" t="s">
        <v>2685</v>
      </c>
      <c r="C195" s="854" t="s">
        <v>2686</v>
      </c>
      <c r="D195" s="837">
        <v>28</v>
      </c>
      <c r="E195" s="836" t="s">
        <v>286</v>
      </c>
      <c r="F195" s="836"/>
      <c r="G195" s="844">
        <v>9</v>
      </c>
      <c r="H195" s="845">
        <v>7</v>
      </c>
      <c r="I195" s="845">
        <v>7</v>
      </c>
      <c r="J195" s="846">
        <v>5</v>
      </c>
      <c r="K195" s="382">
        <v>250000</v>
      </c>
      <c r="L195" s="489">
        <f t="shared" si="23"/>
        <v>7000000</v>
      </c>
      <c r="M195" s="489">
        <f t="shared" si="19"/>
        <v>2250000</v>
      </c>
      <c r="N195" s="489">
        <f t="shared" si="20"/>
        <v>1750000</v>
      </c>
      <c r="O195" s="489">
        <f t="shared" si="22"/>
        <v>1750000</v>
      </c>
      <c r="P195" s="489">
        <f t="shared" si="21"/>
        <v>1250000</v>
      </c>
      <c r="Q195" s="1123"/>
      <c r="R195" s="400"/>
      <c r="S195" s="400"/>
      <c r="T195" s="902">
        <f t="shared" si="18"/>
        <v>28</v>
      </c>
      <c r="U195" s="189"/>
    </row>
    <row r="196" spans="1:21" ht="30">
      <c r="A196" s="854">
        <v>187</v>
      </c>
      <c r="B196" s="836" t="s">
        <v>2687</v>
      </c>
      <c r="C196" s="854" t="s">
        <v>2688</v>
      </c>
      <c r="D196" s="837">
        <v>304</v>
      </c>
      <c r="E196" s="836" t="s">
        <v>286</v>
      </c>
      <c r="F196" s="836"/>
      <c r="G196" s="844">
        <v>76</v>
      </c>
      <c r="H196" s="845">
        <v>76</v>
      </c>
      <c r="I196" s="845">
        <v>76</v>
      </c>
      <c r="J196" s="846">
        <v>76</v>
      </c>
      <c r="K196" s="382">
        <v>168000</v>
      </c>
      <c r="L196" s="489">
        <f t="shared" si="23"/>
        <v>51072000</v>
      </c>
      <c r="M196" s="489">
        <f t="shared" si="19"/>
        <v>12768000</v>
      </c>
      <c r="N196" s="489">
        <f t="shared" si="20"/>
        <v>12768000</v>
      </c>
      <c r="O196" s="489">
        <f t="shared" si="22"/>
        <v>12768000</v>
      </c>
      <c r="P196" s="489">
        <f t="shared" si="21"/>
        <v>12768000</v>
      </c>
      <c r="Q196" s="1123"/>
      <c r="R196" s="400"/>
      <c r="S196" s="400"/>
      <c r="T196" s="902">
        <f t="shared" si="18"/>
        <v>304</v>
      </c>
      <c r="U196" s="189"/>
    </row>
    <row r="197" spans="1:21" ht="30">
      <c r="A197" s="854">
        <v>188</v>
      </c>
      <c r="B197" s="836" t="s">
        <v>2689</v>
      </c>
      <c r="C197" s="854" t="s">
        <v>2690</v>
      </c>
      <c r="D197" s="837">
        <v>288</v>
      </c>
      <c r="E197" s="836" t="s">
        <v>286</v>
      </c>
      <c r="F197" s="836"/>
      <c r="G197" s="844">
        <v>72</v>
      </c>
      <c r="H197" s="845">
        <v>72</v>
      </c>
      <c r="I197" s="845">
        <v>72</v>
      </c>
      <c r="J197" s="846">
        <v>72</v>
      </c>
      <c r="K197" s="382">
        <v>210000</v>
      </c>
      <c r="L197" s="489">
        <f t="shared" si="23"/>
        <v>60480000</v>
      </c>
      <c r="M197" s="489">
        <f t="shared" si="19"/>
        <v>15120000</v>
      </c>
      <c r="N197" s="489">
        <f t="shared" si="20"/>
        <v>15120000</v>
      </c>
      <c r="O197" s="489">
        <f t="shared" si="22"/>
        <v>15120000</v>
      </c>
      <c r="P197" s="489">
        <f t="shared" si="21"/>
        <v>15120000</v>
      </c>
      <c r="Q197" s="1123"/>
      <c r="R197" s="400"/>
      <c r="S197" s="400"/>
      <c r="T197" s="902">
        <f t="shared" ref="T197:T206" si="24">D197-S197</f>
        <v>288</v>
      </c>
      <c r="U197" s="189"/>
    </row>
    <row r="198" spans="1:21" ht="30">
      <c r="A198" s="854">
        <v>189</v>
      </c>
      <c r="B198" s="836" t="s">
        <v>2691</v>
      </c>
      <c r="C198" s="854" t="s">
        <v>2692</v>
      </c>
      <c r="D198" s="837">
        <v>212</v>
      </c>
      <c r="E198" s="836" t="s">
        <v>286</v>
      </c>
      <c r="F198" s="836"/>
      <c r="G198" s="844">
        <v>59</v>
      </c>
      <c r="H198" s="845">
        <v>59</v>
      </c>
      <c r="I198" s="845">
        <v>47</v>
      </c>
      <c r="J198" s="846">
        <v>47</v>
      </c>
      <c r="K198" s="382">
        <v>140000</v>
      </c>
      <c r="L198" s="489">
        <f t="shared" si="23"/>
        <v>29680000</v>
      </c>
      <c r="M198" s="489">
        <f t="shared" si="19"/>
        <v>8260000</v>
      </c>
      <c r="N198" s="489">
        <f t="shared" si="20"/>
        <v>8260000</v>
      </c>
      <c r="O198" s="489">
        <f t="shared" si="22"/>
        <v>6580000</v>
      </c>
      <c r="P198" s="489">
        <f t="shared" si="21"/>
        <v>6580000</v>
      </c>
      <c r="Q198" s="1123"/>
      <c r="R198" s="400"/>
      <c r="S198" s="400"/>
      <c r="T198" s="902">
        <f t="shared" si="24"/>
        <v>212</v>
      </c>
      <c r="U198" s="189"/>
    </row>
    <row r="199" spans="1:21" ht="30">
      <c r="A199" s="854">
        <v>190</v>
      </c>
      <c r="B199" s="836" t="s">
        <v>2693</v>
      </c>
      <c r="C199" s="854" t="s">
        <v>2694</v>
      </c>
      <c r="D199" s="837">
        <v>112</v>
      </c>
      <c r="E199" s="836" t="s">
        <v>286</v>
      </c>
      <c r="F199" s="836"/>
      <c r="G199" s="844">
        <v>28</v>
      </c>
      <c r="H199" s="845">
        <v>28</v>
      </c>
      <c r="I199" s="845">
        <v>28</v>
      </c>
      <c r="J199" s="846">
        <v>28</v>
      </c>
      <c r="K199" s="382">
        <v>320000</v>
      </c>
      <c r="L199" s="489">
        <f t="shared" si="23"/>
        <v>35840000</v>
      </c>
      <c r="M199" s="489">
        <f t="shared" si="19"/>
        <v>8960000</v>
      </c>
      <c r="N199" s="489">
        <f t="shared" si="20"/>
        <v>8960000</v>
      </c>
      <c r="O199" s="489">
        <f t="shared" si="22"/>
        <v>8960000</v>
      </c>
      <c r="P199" s="489">
        <f t="shared" si="21"/>
        <v>8960000</v>
      </c>
      <c r="Q199" s="1123"/>
      <c r="R199" s="400"/>
      <c r="S199" s="400"/>
      <c r="T199" s="902">
        <f t="shared" si="24"/>
        <v>112</v>
      </c>
      <c r="U199" s="189"/>
    </row>
    <row r="200" spans="1:21" ht="30">
      <c r="A200" s="854">
        <v>191</v>
      </c>
      <c r="B200" s="836" t="s">
        <v>2695</v>
      </c>
      <c r="C200" s="854" t="s">
        <v>2696</v>
      </c>
      <c r="D200" s="837">
        <v>136</v>
      </c>
      <c r="E200" s="836" t="s">
        <v>286</v>
      </c>
      <c r="F200" s="836"/>
      <c r="G200" s="844">
        <v>33</v>
      </c>
      <c r="H200" s="845">
        <v>35</v>
      </c>
      <c r="I200" s="845">
        <v>33</v>
      </c>
      <c r="J200" s="846">
        <v>35</v>
      </c>
      <c r="K200" s="382">
        <v>275000</v>
      </c>
      <c r="L200" s="489">
        <f t="shared" si="23"/>
        <v>37400000</v>
      </c>
      <c r="M200" s="489">
        <f t="shared" si="19"/>
        <v>9075000</v>
      </c>
      <c r="N200" s="489">
        <f t="shared" si="20"/>
        <v>9625000</v>
      </c>
      <c r="O200" s="489">
        <f t="shared" si="22"/>
        <v>9075000</v>
      </c>
      <c r="P200" s="489">
        <f t="shared" si="21"/>
        <v>9625000</v>
      </c>
      <c r="Q200" s="1123"/>
      <c r="R200" s="400"/>
      <c r="S200" s="400"/>
      <c r="T200" s="902">
        <f t="shared" si="24"/>
        <v>136</v>
      </c>
      <c r="U200" s="189"/>
    </row>
    <row r="201" spans="1:21" ht="30">
      <c r="A201" s="854">
        <v>192</v>
      </c>
      <c r="B201" s="836" t="s">
        <v>2697</v>
      </c>
      <c r="C201" s="854" t="s">
        <v>2698</v>
      </c>
      <c r="D201" s="837">
        <v>50</v>
      </c>
      <c r="E201" s="836" t="s">
        <v>286</v>
      </c>
      <c r="F201" s="836"/>
      <c r="G201" s="844">
        <v>12</v>
      </c>
      <c r="H201" s="845">
        <v>13</v>
      </c>
      <c r="I201" s="845">
        <v>12</v>
      </c>
      <c r="J201" s="846">
        <v>13</v>
      </c>
      <c r="K201" s="382">
        <v>302000</v>
      </c>
      <c r="L201" s="489">
        <f t="shared" si="23"/>
        <v>15100000</v>
      </c>
      <c r="M201" s="489">
        <f t="shared" si="19"/>
        <v>3624000</v>
      </c>
      <c r="N201" s="489">
        <f t="shared" si="20"/>
        <v>3926000</v>
      </c>
      <c r="O201" s="489">
        <f t="shared" si="22"/>
        <v>3624000</v>
      </c>
      <c r="P201" s="489">
        <f t="shared" si="21"/>
        <v>3926000</v>
      </c>
      <c r="Q201" s="1123"/>
      <c r="R201" s="400"/>
      <c r="S201" s="400"/>
      <c r="T201" s="902">
        <f t="shared" si="24"/>
        <v>50</v>
      </c>
      <c r="U201" s="189"/>
    </row>
    <row r="202" spans="1:21" ht="30">
      <c r="A202" s="854">
        <v>193</v>
      </c>
      <c r="B202" s="836" t="s">
        <v>2699</v>
      </c>
      <c r="C202" s="854" t="s">
        <v>2700</v>
      </c>
      <c r="D202" s="837">
        <v>14</v>
      </c>
      <c r="E202" s="836" t="s">
        <v>286</v>
      </c>
      <c r="F202" s="836"/>
      <c r="G202" s="844">
        <v>3</v>
      </c>
      <c r="H202" s="845">
        <v>4</v>
      </c>
      <c r="I202" s="845">
        <v>4</v>
      </c>
      <c r="J202" s="846">
        <v>3</v>
      </c>
      <c r="K202" s="382">
        <v>176000</v>
      </c>
      <c r="L202" s="489">
        <f t="shared" si="23"/>
        <v>2464000</v>
      </c>
      <c r="M202" s="489">
        <f t="shared" si="19"/>
        <v>528000</v>
      </c>
      <c r="N202" s="489">
        <f t="shared" si="20"/>
        <v>704000</v>
      </c>
      <c r="O202" s="489">
        <f t="shared" si="22"/>
        <v>704000</v>
      </c>
      <c r="P202" s="489">
        <f t="shared" si="21"/>
        <v>528000</v>
      </c>
      <c r="Q202" s="1123"/>
      <c r="R202" s="400"/>
      <c r="S202" s="400"/>
      <c r="T202" s="902">
        <f t="shared" si="24"/>
        <v>14</v>
      </c>
      <c r="U202" s="189"/>
    </row>
    <row r="203" spans="1:21" ht="30">
      <c r="A203" s="854">
        <v>194</v>
      </c>
      <c r="B203" s="836" t="s">
        <v>2701</v>
      </c>
      <c r="C203" s="854" t="s">
        <v>2702</v>
      </c>
      <c r="D203" s="837">
        <v>14</v>
      </c>
      <c r="E203" s="836" t="s">
        <v>286</v>
      </c>
      <c r="F203" s="836"/>
      <c r="G203" s="844">
        <v>3</v>
      </c>
      <c r="H203" s="845">
        <v>4</v>
      </c>
      <c r="I203" s="845">
        <v>4</v>
      </c>
      <c r="J203" s="846">
        <v>3</v>
      </c>
      <c r="K203" s="382">
        <v>345000</v>
      </c>
      <c r="L203" s="489">
        <f t="shared" si="23"/>
        <v>4830000</v>
      </c>
      <c r="M203" s="489">
        <f t="shared" si="19"/>
        <v>1035000</v>
      </c>
      <c r="N203" s="489">
        <f t="shared" si="20"/>
        <v>1380000</v>
      </c>
      <c r="O203" s="489">
        <f t="shared" si="22"/>
        <v>1380000</v>
      </c>
      <c r="P203" s="489">
        <f t="shared" si="21"/>
        <v>1035000</v>
      </c>
      <c r="Q203" s="1123"/>
      <c r="R203" s="400"/>
      <c r="S203" s="400"/>
      <c r="T203" s="902">
        <f t="shared" si="24"/>
        <v>14</v>
      </c>
      <c r="U203" s="189"/>
    </row>
    <row r="204" spans="1:21" ht="30">
      <c r="A204" s="854">
        <v>195</v>
      </c>
      <c r="B204" s="836" t="s">
        <v>2685</v>
      </c>
      <c r="C204" s="854" t="s">
        <v>2703</v>
      </c>
      <c r="D204" s="837">
        <v>12</v>
      </c>
      <c r="E204" s="836" t="s">
        <v>286</v>
      </c>
      <c r="F204" s="836"/>
      <c r="G204" s="844">
        <v>3</v>
      </c>
      <c r="H204" s="845">
        <v>3</v>
      </c>
      <c r="I204" s="845">
        <v>3</v>
      </c>
      <c r="J204" s="846">
        <v>3</v>
      </c>
      <c r="K204" s="382">
        <v>492345</v>
      </c>
      <c r="L204" s="489">
        <f>K204*D204</f>
        <v>5908140</v>
      </c>
      <c r="M204" s="489">
        <f>K204*G204</f>
        <v>1477035</v>
      </c>
      <c r="N204" s="489">
        <f>K204*H204</f>
        <v>1477035</v>
      </c>
      <c r="O204" s="489">
        <f>K204*I204</f>
        <v>1477035</v>
      </c>
      <c r="P204" s="489">
        <f>K204*J204</f>
        <v>1477035</v>
      </c>
      <c r="Q204" s="1124"/>
      <c r="R204" s="400"/>
      <c r="S204" s="400"/>
      <c r="T204" s="902">
        <f t="shared" si="24"/>
        <v>12</v>
      </c>
      <c r="U204" s="189"/>
    </row>
    <row r="205" spans="1:21">
      <c r="A205" s="856"/>
      <c r="B205" s="1120" t="s">
        <v>2994</v>
      </c>
      <c r="C205" s="1121"/>
      <c r="D205" s="1121"/>
      <c r="E205" s="1121"/>
      <c r="F205" s="1121"/>
      <c r="G205" s="1121"/>
      <c r="H205" s="1121"/>
      <c r="I205" s="1121"/>
      <c r="J205" s="1122"/>
      <c r="K205" s="848"/>
      <c r="L205" s="853">
        <f>SUM(L60:L204)</f>
        <v>2135235742</v>
      </c>
      <c r="M205" s="853">
        <f>SUM(M60:M204)</f>
        <v>532967623</v>
      </c>
      <c r="N205" s="853">
        <f>SUM(N60:N204)</f>
        <v>537983798</v>
      </c>
      <c r="O205" s="853">
        <f>SUM(O60:O204)</f>
        <v>537374373</v>
      </c>
      <c r="P205" s="853">
        <f>SUM(P60:P204)</f>
        <v>526909948</v>
      </c>
      <c r="Q205" s="45"/>
      <c r="R205" s="400"/>
      <c r="S205" s="400"/>
      <c r="T205" s="902">
        <f t="shared" si="24"/>
        <v>0</v>
      </c>
      <c r="U205" s="189"/>
    </row>
    <row r="206" spans="1:21">
      <c r="A206" s="461"/>
      <c r="B206" s="1131" t="s">
        <v>2995</v>
      </c>
      <c r="C206" s="1132"/>
      <c r="D206" s="1132"/>
      <c r="E206" s="1132"/>
      <c r="F206" s="1132"/>
      <c r="G206" s="1132"/>
      <c r="H206" s="1132"/>
      <c r="I206" s="1132"/>
      <c r="J206" s="1133"/>
      <c r="K206" s="461"/>
      <c r="L206" s="857">
        <f>L40+L54+L58+L205</f>
        <v>10197579116</v>
      </c>
      <c r="M206" s="857">
        <f>M40+M54+M58+M205</f>
        <v>1040054647</v>
      </c>
      <c r="N206" s="857">
        <f>N40+N54+N58+N205</f>
        <v>2788587996</v>
      </c>
      <c r="O206" s="857">
        <f>O40+O54+O58+O205</f>
        <v>3265327313</v>
      </c>
      <c r="P206" s="857">
        <f>P40+P54+P58+P205</f>
        <v>3103609160</v>
      </c>
      <c r="Q206" s="45"/>
      <c r="R206" s="400"/>
      <c r="S206" s="400"/>
      <c r="T206" s="902">
        <f t="shared" si="24"/>
        <v>0</v>
      </c>
      <c r="U206" s="189"/>
    </row>
    <row r="207" spans="1:21">
      <c r="U207" s="903"/>
    </row>
  </sheetData>
  <customSheetViews>
    <customSheetView guid="{750F99BE-5C19-4848-A09A-0E4FD0F9F8FC}" scale="85" hiddenRows="1">
      <selection activeCell="A60" sqref="A60:XFD204"/>
      <pageMargins left="0.7" right="0.7" top="0.75" bottom="0.75" header="0.3" footer="0.3"/>
      <pageSetup paperSize="9" orientation="portrait" verticalDpi="0" r:id="rId1"/>
    </customSheetView>
    <customSheetView guid="{DEF9C65D-F8A0-4631-A6BF-69DD462E745F}" scale="85" hiddenRows="1" topLeftCell="A40">
      <selection activeCell="J211" sqref="J211"/>
      <pageMargins left="0.7" right="0.7" top="0.75" bottom="0.75" header="0.3" footer="0.3"/>
      <pageSetup paperSize="9" orientation="portrait" verticalDpi="0" r:id="rId2"/>
    </customSheetView>
    <customSheetView guid="{F53706EC-596C-4347-9C22-A701412B0A41}" scale="85" hiddenRows="1">
      <selection activeCell="J211" sqref="J211"/>
      <pageMargins left="0.7" right="0.7" top="0.75" bottom="0.75" header="0.3" footer="0.3"/>
      <pageSetup paperSize="9" orientation="portrait" verticalDpi="0" r:id="rId3"/>
    </customSheetView>
    <customSheetView guid="{93AFD236-396B-4FF3-AB41-05714D8754DB}" scale="85" hiddenRows="1">
      <selection activeCell="A60" sqref="A60:XFD204"/>
      <pageMargins left="0.7" right="0.7" top="0.75" bottom="0.75" header="0.3" footer="0.3"/>
      <pageSetup paperSize="9" orientation="portrait" verticalDpi="0" r:id="rId4"/>
    </customSheetView>
  </customSheetViews>
  <mergeCells count="28">
    <mergeCell ref="B206:J206"/>
    <mergeCell ref="G1:J1"/>
    <mergeCell ref="A40:J40"/>
    <mergeCell ref="A1:A2"/>
    <mergeCell ref="B1:B2"/>
    <mergeCell ref="C1:C2"/>
    <mergeCell ref="D1:D2"/>
    <mergeCell ref="E1:E2"/>
    <mergeCell ref="F1:F2"/>
    <mergeCell ref="A41:J41"/>
    <mergeCell ref="A54:J54"/>
    <mergeCell ref="A55:J55"/>
    <mergeCell ref="A3:P3"/>
    <mergeCell ref="K1:K2"/>
    <mergeCell ref="L1:L2"/>
    <mergeCell ref="M1:M2"/>
    <mergeCell ref="R1:R2"/>
    <mergeCell ref="S1:S2"/>
    <mergeCell ref="T1:T2"/>
    <mergeCell ref="U1:U2"/>
    <mergeCell ref="B205:J205"/>
    <mergeCell ref="Q60:Q204"/>
    <mergeCell ref="Q1:Q2"/>
    <mergeCell ref="P1:P2"/>
    <mergeCell ref="N1:N2"/>
    <mergeCell ref="O1:O2"/>
    <mergeCell ref="A58:J58"/>
    <mergeCell ref="A59:J59"/>
  </mergeCells>
  <pageMargins left="0.7" right="0.7" top="0.75" bottom="0.75" header="0.3" footer="0.3"/>
  <pageSetup paperSize="9" orientation="portrait" verticalDpi="0"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W45"/>
  <sheetViews>
    <sheetView zoomScale="60" zoomScaleNormal="60" workbookViewId="0">
      <selection activeCell="L1" sqref="L1:V1048576"/>
    </sheetView>
  </sheetViews>
  <sheetFormatPr defaultColWidth="20.85546875" defaultRowHeight="15"/>
  <cols>
    <col min="1" max="1" width="7.7109375" bestFit="1" customWidth="1"/>
    <col min="2" max="2" width="38.5703125" customWidth="1"/>
    <col min="3" max="3" width="27.7109375" bestFit="1" customWidth="1"/>
    <col min="4" max="4" width="13.28515625" style="39" customWidth="1"/>
    <col min="5" max="5" width="20.7109375" bestFit="1" customWidth="1"/>
    <col min="6" max="6" width="15" bestFit="1" customWidth="1"/>
    <col min="7" max="7" width="19.140625" bestFit="1" customWidth="1"/>
    <col min="8" max="9" width="8.85546875" hidden="1" customWidth="1"/>
    <col min="10" max="11" width="8.85546875" customWidth="1"/>
    <col min="12" max="17" width="20.85546875" hidden="1" customWidth="1"/>
    <col min="18" max="18" width="35.140625" style="45" hidden="1" customWidth="1"/>
    <col min="19" max="21" width="0" hidden="1" customWidth="1"/>
    <col min="22" max="22" width="0" style="39" hidden="1" customWidth="1"/>
  </cols>
  <sheetData>
    <row r="1" spans="1:22" ht="18.75" customHeight="1">
      <c r="A1" s="1151" t="s">
        <v>595</v>
      </c>
      <c r="B1" s="1152" t="s">
        <v>272</v>
      </c>
      <c r="C1" s="1152" t="s">
        <v>273</v>
      </c>
      <c r="D1" s="1153" t="s">
        <v>274</v>
      </c>
      <c r="E1" s="1152" t="s">
        <v>1</v>
      </c>
      <c r="F1" s="1152" t="s">
        <v>1884</v>
      </c>
      <c r="G1" s="1154" t="s">
        <v>1883</v>
      </c>
      <c r="H1" s="1150" t="s">
        <v>2</v>
      </c>
      <c r="I1" s="1150"/>
      <c r="J1" s="1150"/>
      <c r="K1" s="1150"/>
      <c r="L1" s="1159" t="s">
        <v>2881</v>
      </c>
      <c r="M1" s="1160" t="s">
        <v>2882</v>
      </c>
      <c r="N1" s="1160" t="s">
        <v>2883</v>
      </c>
      <c r="O1" s="1160" t="s">
        <v>2884</v>
      </c>
      <c r="P1" s="1160" t="s">
        <v>2885</v>
      </c>
      <c r="Q1" s="1158" t="s">
        <v>2886</v>
      </c>
      <c r="R1" s="1090" t="s">
        <v>4230</v>
      </c>
      <c r="S1" s="1119" t="s">
        <v>4700</v>
      </c>
      <c r="T1" s="1119" t="s">
        <v>4701</v>
      </c>
      <c r="U1" s="1119" t="s">
        <v>4702</v>
      </c>
      <c r="V1" s="1148" t="s">
        <v>2882</v>
      </c>
    </row>
    <row r="2" spans="1:22" ht="37.5">
      <c r="A2" s="1151"/>
      <c r="B2" s="1152"/>
      <c r="C2" s="1152"/>
      <c r="D2" s="1153"/>
      <c r="E2" s="1152"/>
      <c r="F2" s="1152"/>
      <c r="G2" s="1154"/>
      <c r="H2" s="227" t="s">
        <v>3</v>
      </c>
      <c r="I2" s="227" t="s">
        <v>4</v>
      </c>
      <c r="J2" s="227" t="s">
        <v>5</v>
      </c>
      <c r="K2" s="227" t="s">
        <v>6</v>
      </c>
      <c r="L2" s="1159"/>
      <c r="M2" s="1160"/>
      <c r="N2" s="1160"/>
      <c r="O2" s="1160"/>
      <c r="P2" s="1160"/>
      <c r="Q2" s="1158"/>
      <c r="R2" s="1090"/>
      <c r="S2" s="1119"/>
      <c r="T2" s="1119"/>
      <c r="U2" s="1119"/>
      <c r="V2" s="1148"/>
    </row>
    <row r="3" spans="1:22" ht="18.75" customHeight="1">
      <c r="A3" s="405" t="s">
        <v>598</v>
      </c>
      <c r="B3" s="406"/>
      <c r="C3" s="406"/>
      <c r="D3" s="406"/>
      <c r="E3" s="406"/>
      <c r="F3" s="406"/>
      <c r="G3" s="406"/>
      <c r="H3" s="406"/>
      <c r="I3" s="406"/>
      <c r="J3" s="406"/>
      <c r="K3" s="407"/>
      <c r="L3" s="191"/>
      <c r="M3" s="191"/>
      <c r="N3" s="191"/>
      <c r="O3" s="191"/>
      <c r="P3" s="191"/>
      <c r="Q3" s="191"/>
      <c r="R3" s="461"/>
      <c r="S3" s="383"/>
      <c r="T3" s="383"/>
      <c r="U3" s="383"/>
      <c r="V3" s="911"/>
    </row>
    <row r="4" spans="1:22" s="404" customFormat="1" ht="18.75" customHeight="1">
      <c r="A4" s="1155" t="s">
        <v>3029</v>
      </c>
      <c r="B4" s="1156"/>
      <c r="C4" s="1157"/>
      <c r="D4" s="408"/>
      <c r="E4" s="408"/>
      <c r="F4" s="408"/>
      <c r="G4" s="408"/>
      <c r="H4" s="408"/>
      <c r="I4" s="408"/>
      <c r="J4" s="408"/>
      <c r="K4" s="408"/>
      <c r="L4" s="409"/>
      <c r="M4" s="415">
        <f>SUM(M5)</f>
        <v>75200000000</v>
      </c>
      <c r="N4" s="415">
        <f>SUM(N5)</f>
        <v>12800000000</v>
      </c>
      <c r="O4" s="415">
        <f>SUM(O5)</f>
        <v>20800000000</v>
      </c>
      <c r="P4" s="415">
        <f>SUM(P5)</f>
        <v>20800000000</v>
      </c>
      <c r="Q4" s="687">
        <f>SUM(Q5)</f>
        <v>20800000000</v>
      </c>
      <c r="R4" s="691"/>
      <c r="S4" s="858"/>
      <c r="T4" s="858"/>
      <c r="U4" s="858"/>
      <c r="V4" s="409"/>
    </row>
    <row r="5" spans="1:22" ht="78.75">
      <c r="A5" s="177">
        <v>1</v>
      </c>
      <c r="B5" s="73" t="s">
        <v>1774</v>
      </c>
      <c r="C5" s="63" t="s">
        <v>1775</v>
      </c>
      <c r="D5" s="422">
        <v>4700</v>
      </c>
      <c r="E5" s="33" t="s">
        <v>414</v>
      </c>
      <c r="F5" s="33"/>
      <c r="G5" s="65"/>
      <c r="H5" s="53">
        <v>800</v>
      </c>
      <c r="I5" s="53">
        <v>1300</v>
      </c>
      <c r="J5" s="53">
        <v>1300</v>
      </c>
      <c r="K5" s="53">
        <v>1300</v>
      </c>
      <c r="L5" s="192">
        <v>16000000</v>
      </c>
      <c r="M5" s="193">
        <f>L5*D5</f>
        <v>75200000000</v>
      </c>
      <c r="N5" s="194">
        <f>L5*H5</f>
        <v>12800000000</v>
      </c>
      <c r="O5" s="195">
        <f>L5*I5</f>
        <v>20800000000</v>
      </c>
      <c r="P5" s="196">
        <f>L5*J5</f>
        <v>20800000000</v>
      </c>
      <c r="Q5" s="688">
        <f>L5*K5</f>
        <v>20800000000</v>
      </c>
      <c r="R5" s="692" t="s">
        <v>4231</v>
      </c>
      <c r="S5" s="916" t="s">
        <v>4827</v>
      </c>
      <c r="T5" s="916">
        <v>3000</v>
      </c>
      <c r="U5" s="916">
        <f>D5-T5</f>
        <v>1700</v>
      </c>
      <c r="V5" s="988">
        <v>41850000000</v>
      </c>
    </row>
    <row r="6" spans="1:22" s="174" customFormat="1" ht="15.75" customHeight="1">
      <c r="A6" s="1155" t="s">
        <v>3030</v>
      </c>
      <c r="B6" s="1156"/>
      <c r="C6" s="1157"/>
      <c r="D6" s="119"/>
      <c r="E6" s="33"/>
      <c r="F6" s="33"/>
      <c r="G6" s="65"/>
      <c r="H6" s="53"/>
      <c r="I6" s="53"/>
      <c r="J6" s="53"/>
      <c r="K6" s="53"/>
      <c r="L6" s="192"/>
      <c r="M6" s="411">
        <f>SUM(M7)</f>
        <v>1000000000</v>
      </c>
      <c r="N6" s="412">
        <f>SUM(N7)</f>
        <v>250000000</v>
      </c>
      <c r="O6" s="413">
        <f>SUM(O7)</f>
        <v>250000000</v>
      </c>
      <c r="P6" s="414">
        <f>SUM(P7)</f>
        <v>250000000</v>
      </c>
      <c r="Q6" s="689">
        <f>SUM(Q7)</f>
        <v>250000000</v>
      </c>
      <c r="R6" s="461"/>
      <c r="S6" s="916"/>
      <c r="T6" s="916"/>
      <c r="U6" s="916"/>
      <c r="V6" s="988"/>
    </row>
    <row r="7" spans="1:22" ht="47.25">
      <c r="A7" s="177">
        <v>2</v>
      </c>
      <c r="B7" s="73" t="s">
        <v>1776</v>
      </c>
      <c r="C7" s="63" t="s">
        <v>1777</v>
      </c>
      <c r="D7" s="422">
        <v>80</v>
      </c>
      <c r="E7" s="33" t="s">
        <v>414</v>
      </c>
      <c r="F7" s="33"/>
      <c r="G7" s="65"/>
      <c r="H7" s="53">
        <v>20</v>
      </c>
      <c r="I7" s="53">
        <v>20</v>
      </c>
      <c r="J7" s="53">
        <v>20</v>
      </c>
      <c r="K7" s="53">
        <v>20</v>
      </c>
      <c r="L7" s="197">
        <v>12500000</v>
      </c>
      <c r="M7" s="193">
        <f>L7*D7</f>
        <v>1000000000</v>
      </c>
      <c r="N7" s="194">
        <f t="shared" ref="N7:N40" si="0">L7*H7</f>
        <v>250000000</v>
      </c>
      <c r="O7" s="195">
        <f t="shared" ref="O7:O40" si="1">L7*I7</f>
        <v>250000000</v>
      </c>
      <c r="P7" s="196">
        <f t="shared" ref="P7:P40" si="2">L7*J7</f>
        <v>250000000</v>
      </c>
      <c r="Q7" s="688">
        <f t="shared" ref="Q7:Q40" si="3">L7*K7</f>
        <v>250000000</v>
      </c>
      <c r="R7" s="692" t="s">
        <v>4231</v>
      </c>
      <c r="S7" s="916" t="s">
        <v>4828</v>
      </c>
      <c r="T7" s="916">
        <v>54.54</v>
      </c>
      <c r="U7" s="916">
        <f>D7-T7</f>
        <v>25.46</v>
      </c>
      <c r="V7" s="988">
        <v>629343600</v>
      </c>
    </row>
    <row r="8" spans="1:22" s="174" customFormat="1" ht="15.75" customHeight="1">
      <c r="A8" s="1155" t="s">
        <v>3031</v>
      </c>
      <c r="B8" s="1156"/>
      <c r="C8" s="1157"/>
      <c r="D8" s="119"/>
      <c r="E8" s="33"/>
      <c r="F8" s="33"/>
      <c r="G8" s="65"/>
      <c r="H8" s="53"/>
      <c r="I8" s="53"/>
      <c r="J8" s="53"/>
      <c r="K8" s="53"/>
      <c r="L8" s="197"/>
      <c r="M8" s="411">
        <f>SUM(M9)</f>
        <v>1879800000</v>
      </c>
      <c r="N8" s="412">
        <f>SUM(N9)</f>
        <v>397650000</v>
      </c>
      <c r="O8" s="413">
        <f>SUM(O9)</f>
        <v>542250000</v>
      </c>
      <c r="P8" s="414">
        <f>SUM(P9)</f>
        <v>542250000</v>
      </c>
      <c r="Q8" s="689">
        <f>SUM(Q9)</f>
        <v>397650000</v>
      </c>
      <c r="R8" s="461"/>
      <c r="S8" s="916"/>
      <c r="T8" s="916"/>
      <c r="U8" s="916"/>
      <c r="V8" s="988"/>
    </row>
    <row r="9" spans="1:22" s="58" customFormat="1" ht="15.75">
      <c r="A9" s="177">
        <v>3</v>
      </c>
      <c r="B9" s="135" t="s">
        <v>2818</v>
      </c>
      <c r="C9" s="63" t="s">
        <v>2819</v>
      </c>
      <c r="D9" s="119">
        <v>260</v>
      </c>
      <c r="E9" s="33" t="s">
        <v>414</v>
      </c>
      <c r="F9" s="33">
        <v>0</v>
      </c>
      <c r="G9" s="136"/>
      <c r="H9" s="53">
        <v>55</v>
      </c>
      <c r="I9" s="53">
        <v>75</v>
      </c>
      <c r="J9" s="53">
        <v>75</v>
      </c>
      <c r="K9" s="53">
        <v>55</v>
      </c>
      <c r="L9" s="197">
        <v>7230000</v>
      </c>
      <c r="M9" s="193">
        <f>L9*D9</f>
        <v>1879800000</v>
      </c>
      <c r="N9" s="194">
        <f t="shared" si="0"/>
        <v>397650000</v>
      </c>
      <c r="O9" s="195">
        <f t="shared" si="1"/>
        <v>542250000</v>
      </c>
      <c r="P9" s="196">
        <f t="shared" si="2"/>
        <v>542250000</v>
      </c>
      <c r="Q9" s="688">
        <f t="shared" si="3"/>
        <v>397650000</v>
      </c>
      <c r="R9" s="692" t="s">
        <v>4231</v>
      </c>
      <c r="S9" s="916"/>
      <c r="T9" s="916"/>
      <c r="U9" s="916">
        <f>D9-T9</f>
        <v>260</v>
      </c>
      <c r="V9" s="988"/>
    </row>
    <row r="10" spans="1:22" s="174" customFormat="1" ht="15.75" customHeight="1">
      <c r="A10" s="1155" t="s">
        <v>3032</v>
      </c>
      <c r="B10" s="1156"/>
      <c r="C10" s="1157"/>
      <c r="D10" s="119"/>
      <c r="E10" s="33"/>
      <c r="F10" s="33"/>
      <c r="G10" s="136"/>
      <c r="H10" s="53"/>
      <c r="I10" s="53"/>
      <c r="J10" s="53"/>
      <c r="K10" s="53"/>
      <c r="L10" s="197"/>
      <c r="M10" s="411">
        <f>SUM(M11:M40)</f>
        <v>9970306770</v>
      </c>
      <c r="N10" s="412">
        <f>SUM(N11:N40)</f>
        <v>2397923135</v>
      </c>
      <c r="O10" s="413">
        <f>SUM(O11:O40)</f>
        <v>2686893825</v>
      </c>
      <c r="P10" s="414">
        <f>SUM(P11:P40)</f>
        <v>2571743825</v>
      </c>
      <c r="Q10" s="689">
        <f>SUM(Q11:Q40)</f>
        <v>2313745985</v>
      </c>
      <c r="R10" s="461"/>
      <c r="S10" s="916"/>
      <c r="T10" s="916"/>
      <c r="U10" s="916"/>
      <c r="V10" s="988"/>
    </row>
    <row r="11" spans="1:22" ht="31.5">
      <c r="A11" s="177">
        <v>4</v>
      </c>
      <c r="B11" s="73" t="s">
        <v>1922</v>
      </c>
      <c r="C11" s="63"/>
      <c r="D11" s="119">
        <v>40000</v>
      </c>
      <c r="E11" s="63" t="s">
        <v>390</v>
      </c>
      <c r="F11" s="34">
        <v>40000</v>
      </c>
      <c r="G11" s="35">
        <v>0</v>
      </c>
      <c r="H11" s="32">
        <v>10000</v>
      </c>
      <c r="I11" s="32">
        <v>10000</v>
      </c>
      <c r="J11" s="32">
        <v>10000</v>
      </c>
      <c r="K11" s="32">
        <v>10000</v>
      </c>
      <c r="L11" s="197">
        <v>49500</v>
      </c>
      <c r="M11" s="198">
        <f>L11*D11</f>
        <v>1980000000</v>
      </c>
      <c r="N11" s="194">
        <f t="shared" si="0"/>
        <v>495000000</v>
      </c>
      <c r="O11" s="195">
        <f t="shared" si="1"/>
        <v>495000000</v>
      </c>
      <c r="P11" s="196">
        <f t="shared" si="2"/>
        <v>495000000</v>
      </c>
      <c r="Q11" s="688">
        <f t="shared" si="3"/>
        <v>495000000</v>
      </c>
      <c r="R11" s="693" t="s">
        <v>4232</v>
      </c>
      <c r="S11" s="916" t="s">
        <v>4829</v>
      </c>
      <c r="T11" s="916">
        <v>10250</v>
      </c>
      <c r="U11" s="916">
        <f>D11-T11</f>
        <v>29750</v>
      </c>
      <c r="V11" s="988">
        <v>481750000</v>
      </c>
    </row>
    <row r="12" spans="1:22" ht="31.5">
      <c r="A12" s="177">
        <v>5</v>
      </c>
      <c r="B12" s="73" t="s">
        <v>1923</v>
      </c>
      <c r="C12" s="73" t="s">
        <v>1924</v>
      </c>
      <c r="D12" s="119">
        <v>800</v>
      </c>
      <c r="E12" s="63" t="s">
        <v>390</v>
      </c>
      <c r="F12" s="34"/>
      <c r="G12" s="35">
        <v>800</v>
      </c>
      <c r="H12" s="32">
        <v>200</v>
      </c>
      <c r="I12" s="32">
        <v>200</v>
      </c>
      <c r="J12" s="32">
        <v>400</v>
      </c>
      <c r="K12" s="32"/>
      <c r="L12" s="197">
        <v>13000</v>
      </c>
      <c r="M12" s="198">
        <f t="shared" ref="M12:M40" si="4">L12*D12</f>
        <v>10400000</v>
      </c>
      <c r="N12" s="194">
        <f t="shared" si="0"/>
        <v>2600000</v>
      </c>
      <c r="O12" s="195">
        <f t="shared" si="1"/>
        <v>2600000</v>
      </c>
      <c r="P12" s="196">
        <f t="shared" si="2"/>
        <v>5200000</v>
      </c>
      <c r="Q12" s="688">
        <f t="shared" si="3"/>
        <v>0</v>
      </c>
      <c r="R12" s="693" t="s">
        <v>4232</v>
      </c>
      <c r="S12" s="916"/>
      <c r="T12" s="916"/>
      <c r="U12" s="916">
        <f t="shared" ref="U12:U40" si="5">D12-T12</f>
        <v>800</v>
      </c>
      <c r="V12" s="988"/>
    </row>
    <row r="13" spans="1:22" ht="63">
      <c r="A13" s="177">
        <v>6</v>
      </c>
      <c r="B13" s="73" t="s">
        <v>1921</v>
      </c>
      <c r="C13" s="63"/>
      <c r="D13" s="119">
        <v>21270</v>
      </c>
      <c r="E13" s="63" t="s">
        <v>390</v>
      </c>
      <c r="F13" s="34">
        <v>0</v>
      </c>
      <c r="G13" s="35">
        <v>21270</v>
      </c>
      <c r="H13" s="32">
        <v>4414</v>
      </c>
      <c r="I13" s="32">
        <v>6321</v>
      </c>
      <c r="J13" s="32">
        <v>6321</v>
      </c>
      <c r="K13" s="32">
        <v>4214</v>
      </c>
      <c r="L13" s="197">
        <v>49540</v>
      </c>
      <c r="M13" s="198">
        <f t="shared" si="4"/>
        <v>1053715800</v>
      </c>
      <c r="N13" s="194">
        <f t="shared" si="0"/>
        <v>218669560</v>
      </c>
      <c r="O13" s="195">
        <f t="shared" si="1"/>
        <v>313142340</v>
      </c>
      <c r="P13" s="196">
        <f t="shared" si="2"/>
        <v>313142340</v>
      </c>
      <c r="Q13" s="688">
        <f t="shared" si="3"/>
        <v>208761560</v>
      </c>
      <c r="R13" s="693" t="s">
        <v>4232</v>
      </c>
      <c r="S13" s="916" t="s">
        <v>4830</v>
      </c>
      <c r="T13" s="916">
        <v>12300</v>
      </c>
      <c r="U13" s="916">
        <f t="shared" si="5"/>
        <v>8970</v>
      </c>
      <c r="V13" s="988">
        <v>424350000</v>
      </c>
    </row>
    <row r="14" spans="1:22" ht="30">
      <c r="A14" s="177">
        <v>7</v>
      </c>
      <c r="B14" s="73" t="s">
        <v>1920</v>
      </c>
      <c r="C14" s="65"/>
      <c r="D14" s="119">
        <v>130</v>
      </c>
      <c r="E14" s="63" t="s">
        <v>390</v>
      </c>
      <c r="F14" s="63">
        <v>0</v>
      </c>
      <c r="G14" s="65">
        <v>130</v>
      </c>
      <c r="H14" s="67">
        <v>26</v>
      </c>
      <c r="I14" s="67">
        <v>39</v>
      </c>
      <c r="J14" s="67">
        <v>39</v>
      </c>
      <c r="K14" s="67">
        <v>26</v>
      </c>
      <c r="L14" s="197">
        <v>65515</v>
      </c>
      <c r="M14" s="198">
        <f t="shared" si="4"/>
        <v>8516950</v>
      </c>
      <c r="N14" s="194">
        <f t="shared" si="0"/>
        <v>1703390</v>
      </c>
      <c r="O14" s="195">
        <f t="shared" si="1"/>
        <v>2555085</v>
      </c>
      <c r="P14" s="196">
        <f t="shared" si="2"/>
        <v>2555085</v>
      </c>
      <c r="Q14" s="688">
        <f t="shared" si="3"/>
        <v>1703390</v>
      </c>
      <c r="R14" s="693" t="s">
        <v>4232</v>
      </c>
      <c r="S14" s="916"/>
      <c r="T14" s="916"/>
      <c r="U14" s="916">
        <f t="shared" si="5"/>
        <v>130</v>
      </c>
      <c r="V14" s="988"/>
    </row>
    <row r="15" spans="1:22" ht="30">
      <c r="A15" s="177">
        <v>8</v>
      </c>
      <c r="B15" s="73" t="s">
        <v>1919</v>
      </c>
      <c r="C15" s="65"/>
      <c r="D15" s="119">
        <v>150</v>
      </c>
      <c r="E15" s="63" t="s">
        <v>390</v>
      </c>
      <c r="F15" s="63">
        <v>150</v>
      </c>
      <c r="G15" s="35">
        <v>0</v>
      </c>
      <c r="H15" s="67">
        <v>0</v>
      </c>
      <c r="I15" s="67">
        <v>50</v>
      </c>
      <c r="J15" s="67">
        <v>50</v>
      </c>
      <c r="K15" s="67">
        <v>50</v>
      </c>
      <c r="L15" s="197">
        <v>50050</v>
      </c>
      <c r="M15" s="198">
        <f t="shared" si="4"/>
        <v>7507500</v>
      </c>
      <c r="N15" s="194">
        <f t="shared" si="0"/>
        <v>0</v>
      </c>
      <c r="O15" s="195">
        <f t="shared" si="1"/>
        <v>2502500</v>
      </c>
      <c r="P15" s="196">
        <f t="shared" si="2"/>
        <v>2502500</v>
      </c>
      <c r="Q15" s="688">
        <f t="shared" si="3"/>
        <v>2502500</v>
      </c>
      <c r="R15" s="693" t="s">
        <v>4232</v>
      </c>
      <c r="S15" s="916"/>
      <c r="T15" s="916"/>
      <c r="U15" s="916">
        <f t="shared" si="5"/>
        <v>150</v>
      </c>
      <c r="V15" s="988"/>
    </row>
    <row r="16" spans="1:22" ht="31.5">
      <c r="A16" s="177">
        <v>9</v>
      </c>
      <c r="B16" s="73" t="s">
        <v>1918</v>
      </c>
      <c r="C16" s="63"/>
      <c r="D16" s="119">
        <v>1650</v>
      </c>
      <c r="E16" s="63" t="s">
        <v>390</v>
      </c>
      <c r="F16" s="34"/>
      <c r="G16" s="35">
        <v>1650</v>
      </c>
      <c r="H16" s="32">
        <v>330</v>
      </c>
      <c r="I16" s="32">
        <v>495</v>
      </c>
      <c r="J16" s="32">
        <v>495</v>
      </c>
      <c r="K16" s="32">
        <v>330</v>
      </c>
      <c r="L16" s="197">
        <v>43312</v>
      </c>
      <c r="M16" s="198">
        <f t="shared" si="4"/>
        <v>71464800</v>
      </c>
      <c r="N16" s="194">
        <f t="shared" si="0"/>
        <v>14292960</v>
      </c>
      <c r="O16" s="195">
        <f t="shared" si="1"/>
        <v>21439440</v>
      </c>
      <c r="P16" s="196">
        <f t="shared" si="2"/>
        <v>21439440</v>
      </c>
      <c r="Q16" s="688">
        <f t="shared" si="3"/>
        <v>14292960</v>
      </c>
      <c r="R16" s="693" t="s">
        <v>4232</v>
      </c>
      <c r="S16" s="916"/>
      <c r="T16" s="916"/>
      <c r="U16" s="916">
        <f t="shared" si="5"/>
        <v>1650</v>
      </c>
      <c r="V16" s="988"/>
    </row>
    <row r="17" spans="1:22" ht="30">
      <c r="A17" s="177">
        <v>10</v>
      </c>
      <c r="B17" s="73" t="s">
        <v>1917</v>
      </c>
      <c r="C17" s="65"/>
      <c r="D17" s="119">
        <v>200</v>
      </c>
      <c r="E17" s="63" t="s">
        <v>390</v>
      </c>
      <c r="F17" s="63">
        <v>200</v>
      </c>
      <c r="G17" s="35">
        <v>0</v>
      </c>
      <c r="H17" s="67">
        <v>50</v>
      </c>
      <c r="I17" s="67">
        <v>50</v>
      </c>
      <c r="J17" s="67">
        <v>50</v>
      </c>
      <c r="K17" s="67">
        <v>50</v>
      </c>
      <c r="L17" s="197">
        <v>45620</v>
      </c>
      <c r="M17" s="198">
        <f t="shared" si="4"/>
        <v>9124000</v>
      </c>
      <c r="N17" s="194">
        <f t="shared" si="0"/>
        <v>2281000</v>
      </c>
      <c r="O17" s="195">
        <f t="shared" si="1"/>
        <v>2281000</v>
      </c>
      <c r="P17" s="196">
        <f t="shared" si="2"/>
        <v>2281000</v>
      </c>
      <c r="Q17" s="688">
        <f t="shared" si="3"/>
        <v>2281000</v>
      </c>
      <c r="R17" s="693" t="s">
        <v>4232</v>
      </c>
      <c r="S17" s="916"/>
      <c r="T17" s="916"/>
      <c r="U17" s="916">
        <f t="shared" si="5"/>
        <v>200</v>
      </c>
      <c r="V17" s="988"/>
    </row>
    <row r="18" spans="1:22" ht="31.5">
      <c r="A18" s="177">
        <v>11</v>
      </c>
      <c r="B18" s="73" t="s">
        <v>1916</v>
      </c>
      <c r="C18" s="63"/>
      <c r="D18" s="119">
        <v>2300</v>
      </c>
      <c r="E18" s="63" t="s">
        <v>390</v>
      </c>
      <c r="F18" s="34">
        <v>0</v>
      </c>
      <c r="G18" s="35">
        <v>2300</v>
      </c>
      <c r="H18" s="32">
        <v>460</v>
      </c>
      <c r="I18" s="32">
        <v>690</v>
      </c>
      <c r="J18" s="32">
        <v>690</v>
      </c>
      <c r="K18" s="32">
        <v>460</v>
      </c>
      <c r="L18" s="197">
        <v>43312</v>
      </c>
      <c r="M18" s="198">
        <f t="shared" si="4"/>
        <v>99617600</v>
      </c>
      <c r="N18" s="194">
        <f t="shared" si="0"/>
        <v>19923520</v>
      </c>
      <c r="O18" s="195">
        <f t="shared" si="1"/>
        <v>29885280</v>
      </c>
      <c r="P18" s="196">
        <f t="shared" si="2"/>
        <v>29885280</v>
      </c>
      <c r="Q18" s="688">
        <f t="shared" si="3"/>
        <v>19923520</v>
      </c>
      <c r="R18" s="693" t="s">
        <v>4232</v>
      </c>
      <c r="S18" s="916"/>
      <c r="T18" s="916"/>
      <c r="U18" s="916">
        <f t="shared" si="5"/>
        <v>2300</v>
      </c>
      <c r="V18" s="988"/>
    </row>
    <row r="19" spans="1:22" ht="94.5">
      <c r="A19" s="177">
        <v>12</v>
      </c>
      <c r="B19" s="73" t="s">
        <v>1915</v>
      </c>
      <c r="C19" s="63"/>
      <c r="D19" s="119">
        <v>15000</v>
      </c>
      <c r="E19" s="63" t="s">
        <v>390</v>
      </c>
      <c r="F19" s="63">
        <v>15000</v>
      </c>
      <c r="G19" s="35">
        <v>0</v>
      </c>
      <c r="H19" s="32">
        <v>3000</v>
      </c>
      <c r="I19" s="32">
        <v>4000</v>
      </c>
      <c r="J19" s="32">
        <v>4000</v>
      </c>
      <c r="K19" s="32">
        <v>4000</v>
      </c>
      <c r="L19" s="197">
        <v>47830</v>
      </c>
      <c r="M19" s="198">
        <f t="shared" si="4"/>
        <v>717450000</v>
      </c>
      <c r="N19" s="194">
        <f t="shared" si="0"/>
        <v>143490000</v>
      </c>
      <c r="O19" s="195">
        <f t="shared" si="1"/>
        <v>191320000</v>
      </c>
      <c r="P19" s="196">
        <f t="shared" si="2"/>
        <v>191320000</v>
      </c>
      <c r="Q19" s="688">
        <f t="shared" si="3"/>
        <v>191320000</v>
      </c>
      <c r="R19" s="693" t="s">
        <v>4232</v>
      </c>
      <c r="S19" s="916" t="s">
        <v>4831</v>
      </c>
      <c r="T19" s="916">
        <v>8200</v>
      </c>
      <c r="U19" s="916">
        <f t="shared" si="5"/>
        <v>6800</v>
      </c>
      <c r="V19" s="988">
        <v>281465000</v>
      </c>
    </row>
    <row r="20" spans="1:22" ht="31.5">
      <c r="A20" s="177">
        <v>13</v>
      </c>
      <c r="B20" s="73" t="s">
        <v>1914</v>
      </c>
      <c r="C20" s="63"/>
      <c r="D20" s="119">
        <v>3870</v>
      </c>
      <c r="E20" s="63" t="s">
        <v>390</v>
      </c>
      <c r="F20" s="63">
        <v>0</v>
      </c>
      <c r="G20" s="35">
        <v>3870</v>
      </c>
      <c r="H20" s="53">
        <v>774</v>
      </c>
      <c r="I20" s="53">
        <v>1161</v>
      </c>
      <c r="J20" s="53">
        <v>1161</v>
      </c>
      <c r="K20" s="53">
        <v>774</v>
      </c>
      <c r="L20" s="197">
        <v>44625</v>
      </c>
      <c r="M20" s="198">
        <f t="shared" si="4"/>
        <v>172698750</v>
      </c>
      <c r="N20" s="194">
        <f t="shared" si="0"/>
        <v>34539750</v>
      </c>
      <c r="O20" s="195">
        <f t="shared" si="1"/>
        <v>51809625</v>
      </c>
      <c r="P20" s="196">
        <f t="shared" si="2"/>
        <v>51809625</v>
      </c>
      <c r="Q20" s="688">
        <f t="shared" si="3"/>
        <v>34539750</v>
      </c>
      <c r="R20" s="693" t="s">
        <v>4232</v>
      </c>
      <c r="S20" s="916"/>
      <c r="T20" s="916"/>
      <c r="U20" s="916">
        <f t="shared" si="5"/>
        <v>3870</v>
      </c>
      <c r="V20" s="988"/>
    </row>
    <row r="21" spans="1:22" ht="31.5">
      <c r="A21" s="177">
        <v>14</v>
      </c>
      <c r="B21" s="73" t="s">
        <v>1913</v>
      </c>
      <c r="C21" s="65"/>
      <c r="D21" s="119">
        <v>350</v>
      </c>
      <c r="E21" s="63" t="s">
        <v>390</v>
      </c>
      <c r="F21" s="63">
        <v>350</v>
      </c>
      <c r="G21" s="35">
        <v>0</v>
      </c>
      <c r="H21" s="36">
        <v>50</v>
      </c>
      <c r="I21" s="36">
        <v>100</v>
      </c>
      <c r="J21" s="36">
        <v>100</v>
      </c>
      <c r="K21" s="36">
        <v>100</v>
      </c>
      <c r="L21" s="197">
        <v>50600</v>
      </c>
      <c r="M21" s="198">
        <f t="shared" si="4"/>
        <v>17710000</v>
      </c>
      <c r="N21" s="194">
        <f t="shared" si="0"/>
        <v>2530000</v>
      </c>
      <c r="O21" s="195">
        <f t="shared" si="1"/>
        <v>5060000</v>
      </c>
      <c r="P21" s="196">
        <f t="shared" si="2"/>
        <v>5060000</v>
      </c>
      <c r="Q21" s="688">
        <f t="shared" si="3"/>
        <v>5060000</v>
      </c>
      <c r="R21" s="693" t="s">
        <v>4232</v>
      </c>
      <c r="S21" s="916"/>
      <c r="T21" s="916"/>
      <c r="U21" s="916">
        <f t="shared" si="5"/>
        <v>350</v>
      </c>
      <c r="V21" s="988"/>
    </row>
    <row r="22" spans="1:22" ht="31.5">
      <c r="A22" s="177">
        <v>15</v>
      </c>
      <c r="B22" s="73" t="s">
        <v>1912</v>
      </c>
      <c r="C22" s="63"/>
      <c r="D22" s="119">
        <v>3800</v>
      </c>
      <c r="E22" s="63" t="s">
        <v>390</v>
      </c>
      <c r="F22" s="63">
        <v>0</v>
      </c>
      <c r="G22" s="35">
        <v>3800</v>
      </c>
      <c r="H22" s="53">
        <v>760</v>
      </c>
      <c r="I22" s="53">
        <v>1140</v>
      </c>
      <c r="J22" s="53">
        <v>1140</v>
      </c>
      <c r="K22" s="53">
        <v>760</v>
      </c>
      <c r="L22" s="197">
        <v>39500</v>
      </c>
      <c r="M22" s="198">
        <f t="shared" si="4"/>
        <v>150100000</v>
      </c>
      <c r="N22" s="194">
        <f t="shared" si="0"/>
        <v>30020000</v>
      </c>
      <c r="O22" s="195">
        <f t="shared" si="1"/>
        <v>45030000</v>
      </c>
      <c r="P22" s="196">
        <f t="shared" si="2"/>
        <v>45030000</v>
      </c>
      <c r="Q22" s="688">
        <f t="shared" si="3"/>
        <v>30020000</v>
      </c>
      <c r="R22" s="693" t="s">
        <v>4232</v>
      </c>
      <c r="S22" s="916"/>
      <c r="T22" s="916"/>
      <c r="U22" s="916">
        <f t="shared" si="5"/>
        <v>3800</v>
      </c>
      <c r="V22" s="988"/>
    </row>
    <row r="23" spans="1:22" ht="30">
      <c r="A23" s="177">
        <v>16</v>
      </c>
      <c r="B23" s="73" t="s">
        <v>1911</v>
      </c>
      <c r="C23" s="63" t="s">
        <v>1778</v>
      </c>
      <c r="D23" s="119">
        <v>9000</v>
      </c>
      <c r="E23" s="63" t="s">
        <v>390</v>
      </c>
      <c r="F23" s="34">
        <v>9000</v>
      </c>
      <c r="G23" s="35">
        <v>0</v>
      </c>
      <c r="H23" s="32">
        <v>2000</v>
      </c>
      <c r="I23" s="32">
        <v>2500</v>
      </c>
      <c r="J23" s="32">
        <v>2500</v>
      </c>
      <c r="K23" s="32">
        <v>2000</v>
      </c>
      <c r="L23" s="197">
        <v>39562</v>
      </c>
      <c r="M23" s="198">
        <f t="shared" si="4"/>
        <v>356058000</v>
      </c>
      <c r="N23" s="194">
        <f t="shared" si="0"/>
        <v>79124000</v>
      </c>
      <c r="O23" s="195">
        <f t="shared" si="1"/>
        <v>98905000</v>
      </c>
      <c r="P23" s="196">
        <f t="shared" si="2"/>
        <v>98905000</v>
      </c>
      <c r="Q23" s="688">
        <f t="shared" si="3"/>
        <v>79124000</v>
      </c>
      <c r="R23" s="693" t="s">
        <v>4232</v>
      </c>
      <c r="S23" s="916"/>
      <c r="T23" s="916"/>
      <c r="U23" s="916">
        <f t="shared" si="5"/>
        <v>9000</v>
      </c>
      <c r="V23" s="988"/>
    </row>
    <row r="24" spans="1:22" ht="30">
      <c r="A24" s="177">
        <v>17</v>
      </c>
      <c r="B24" s="73" t="s">
        <v>1910</v>
      </c>
      <c r="C24" s="63"/>
      <c r="D24" s="119">
        <v>3750</v>
      </c>
      <c r="E24" s="63" t="s">
        <v>390</v>
      </c>
      <c r="F24" s="34">
        <v>0</v>
      </c>
      <c r="G24" s="35">
        <v>3750</v>
      </c>
      <c r="H24" s="32">
        <v>750</v>
      </c>
      <c r="I24" s="32">
        <v>1125</v>
      </c>
      <c r="J24" s="32">
        <v>1125</v>
      </c>
      <c r="K24" s="32">
        <v>750</v>
      </c>
      <c r="L24" s="197">
        <v>33150</v>
      </c>
      <c r="M24" s="198">
        <f t="shared" si="4"/>
        <v>124312500</v>
      </c>
      <c r="N24" s="194">
        <f t="shared" si="0"/>
        <v>24862500</v>
      </c>
      <c r="O24" s="195">
        <f t="shared" si="1"/>
        <v>37293750</v>
      </c>
      <c r="P24" s="196">
        <f t="shared" si="2"/>
        <v>37293750</v>
      </c>
      <c r="Q24" s="688">
        <f t="shared" si="3"/>
        <v>24862500</v>
      </c>
      <c r="R24" s="693" t="s">
        <v>4232</v>
      </c>
      <c r="S24" s="916"/>
      <c r="T24" s="916"/>
      <c r="U24" s="916">
        <f t="shared" si="5"/>
        <v>3750</v>
      </c>
      <c r="V24" s="988"/>
    </row>
    <row r="25" spans="1:22" ht="30">
      <c r="A25" s="177">
        <v>18</v>
      </c>
      <c r="B25" s="73" t="s">
        <v>1909</v>
      </c>
      <c r="C25" s="63"/>
      <c r="D25" s="119">
        <v>800</v>
      </c>
      <c r="E25" s="63" t="s">
        <v>390</v>
      </c>
      <c r="F25" s="63">
        <v>800</v>
      </c>
      <c r="G25" s="35">
        <v>0</v>
      </c>
      <c r="H25" s="32">
        <v>200</v>
      </c>
      <c r="I25" s="32">
        <v>200</v>
      </c>
      <c r="J25" s="32">
        <v>200</v>
      </c>
      <c r="K25" s="32">
        <v>200</v>
      </c>
      <c r="L25" s="197">
        <v>44500</v>
      </c>
      <c r="M25" s="198">
        <f t="shared" si="4"/>
        <v>35600000</v>
      </c>
      <c r="N25" s="194">
        <f t="shared" si="0"/>
        <v>8900000</v>
      </c>
      <c r="O25" s="195">
        <f t="shared" si="1"/>
        <v>8900000</v>
      </c>
      <c r="P25" s="196">
        <f t="shared" si="2"/>
        <v>8900000</v>
      </c>
      <c r="Q25" s="688">
        <f t="shared" si="3"/>
        <v>8900000</v>
      </c>
      <c r="R25" s="693" t="s">
        <v>4232</v>
      </c>
      <c r="S25" s="916"/>
      <c r="T25" s="916"/>
      <c r="U25" s="916">
        <f t="shared" si="5"/>
        <v>800</v>
      </c>
      <c r="V25" s="988"/>
    </row>
    <row r="26" spans="1:22" ht="30">
      <c r="A26" s="177">
        <v>19</v>
      </c>
      <c r="B26" s="73" t="s">
        <v>1908</v>
      </c>
      <c r="C26" s="63"/>
      <c r="D26" s="119">
        <v>4000</v>
      </c>
      <c r="E26" s="63" t="s">
        <v>390</v>
      </c>
      <c r="F26" s="63">
        <v>0</v>
      </c>
      <c r="G26" s="35">
        <v>4000</v>
      </c>
      <c r="H26" s="32">
        <v>800</v>
      </c>
      <c r="I26" s="32">
        <v>1200</v>
      </c>
      <c r="J26" s="32">
        <v>1200</v>
      </c>
      <c r="K26" s="32">
        <v>800</v>
      </c>
      <c r="L26" s="197">
        <v>35000</v>
      </c>
      <c r="M26" s="198">
        <f t="shared" si="4"/>
        <v>140000000</v>
      </c>
      <c r="N26" s="194">
        <f t="shared" si="0"/>
        <v>28000000</v>
      </c>
      <c r="O26" s="195">
        <f t="shared" si="1"/>
        <v>42000000</v>
      </c>
      <c r="P26" s="196">
        <f t="shared" si="2"/>
        <v>42000000</v>
      </c>
      <c r="Q26" s="688">
        <f t="shared" si="3"/>
        <v>28000000</v>
      </c>
      <c r="R26" s="693" t="s">
        <v>4232</v>
      </c>
      <c r="S26" s="916"/>
      <c r="T26" s="916"/>
      <c r="U26" s="916">
        <f t="shared" si="5"/>
        <v>4000</v>
      </c>
      <c r="V26" s="988"/>
    </row>
    <row r="27" spans="1:22" ht="30">
      <c r="A27" s="177">
        <v>20</v>
      </c>
      <c r="B27" s="73" t="s">
        <v>1907</v>
      </c>
      <c r="C27" s="63"/>
      <c r="D27" s="119">
        <v>5900</v>
      </c>
      <c r="E27" s="63" t="s">
        <v>390</v>
      </c>
      <c r="F27" s="63">
        <v>0</v>
      </c>
      <c r="G27" s="35">
        <v>5900</v>
      </c>
      <c r="H27" s="32">
        <v>1180</v>
      </c>
      <c r="I27" s="32">
        <v>1770</v>
      </c>
      <c r="J27" s="32">
        <v>1770</v>
      </c>
      <c r="K27" s="32">
        <v>1180</v>
      </c>
      <c r="L27" s="197">
        <v>37900</v>
      </c>
      <c r="M27" s="198">
        <f t="shared" si="4"/>
        <v>223610000</v>
      </c>
      <c r="N27" s="194">
        <f t="shared" si="0"/>
        <v>44722000</v>
      </c>
      <c r="O27" s="195">
        <f t="shared" si="1"/>
        <v>67083000</v>
      </c>
      <c r="P27" s="196">
        <f t="shared" si="2"/>
        <v>67083000</v>
      </c>
      <c r="Q27" s="688">
        <f t="shared" si="3"/>
        <v>44722000</v>
      </c>
      <c r="R27" s="693" t="s">
        <v>4232</v>
      </c>
      <c r="S27" s="916"/>
      <c r="T27" s="916"/>
      <c r="U27" s="916">
        <f t="shared" si="5"/>
        <v>5900</v>
      </c>
      <c r="V27" s="988"/>
    </row>
    <row r="28" spans="1:22" ht="31.5">
      <c r="A28" s="177">
        <v>21</v>
      </c>
      <c r="B28" s="73" t="s">
        <v>1779</v>
      </c>
      <c r="C28" s="63"/>
      <c r="D28" s="119">
        <v>30000</v>
      </c>
      <c r="E28" s="63" t="s">
        <v>390</v>
      </c>
      <c r="F28" s="34">
        <v>30000</v>
      </c>
      <c r="G28" s="65">
        <v>0</v>
      </c>
      <c r="H28" s="32">
        <v>0</v>
      </c>
      <c r="I28" s="32">
        <v>0</v>
      </c>
      <c r="J28" s="32">
        <v>15000</v>
      </c>
      <c r="K28" s="32">
        <v>15000</v>
      </c>
      <c r="L28" s="197">
        <v>42900</v>
      </c>
      <c r="M28" s="198">
        <f t="shared" si="4"/>
        <v>1287000000</v>
      </c>
      <c r="N28" s="194">
        <f t="shared" si="0"/>
        <v>0</v>
      </c>
      <c r="O28" s="195">
        <f t="shared" si="1"/>
        <v>0</v>
      </c>
      <c r="P28" s="196">
        <f t="shared" si="2"/>
        <v>643500000</v>
      </c>
      <c r="Q28" s="688">
        <f t="shared" si="3"/>
        <v>643500000</v>
      </c>
      <c r="R28" s="693" t="s">
        <v>4232</v>
      </c>
      <c r="S28" s="916" t="s">
        <v>4756</v>
      </c>
      <c r="T28" s="916">
        <v>7585</v>
      </c>
      <c r="U28" s="916">
        <f t="shared" si="5"/>
        <v>22415</v>
      </c>
      <c r="V28" s="988">
        <v>295815000</v>
      </c>
    </row>
    <row r="29" spans="1:22" ht="63">
      <c r="A29" s="177">
        <v>50750</v>
      </c>
      <c r="B29" s="73" t="s">
        <v>1780</v>
      </c>
      <c r="C29" s="63"/>
      <c r="D29" s="119">
        <v>30000</v>
      </c>
      <c r="E29" s="63" t="s">
        <v>390</v>
      </c>
      <c r="F29" s="34">
        <v>30000</v>
      </c>
      <c r="G29" s="65">
        <v>0</v>
      </c>
      <c r="H29" s="32">
        <v>15000</v>
      </c>
      <c r="I29" s="32">
        <v>15000</v>
      </c>
      <c r="J29" s="32">
        <v>0</v>
      </c>
      <c r="K29" s="32">
        <v>0</v>
      </c>
      <c r="L29" s="197">
        <v>50750</v>
      </c>
      <c r="M29" s="198">
        <f t="shared" si="4"/>
        <v>1522500000</v>
      </c>
      <c r="N29" s="194">
        <f t="shared" si="0"/>
        <v>761250000</v>
      </c>
      <c r="O29" s="195">
        <f t="shared" si="1"/>
        <v>761250000</v>
      </c>
      <c r="P29" s="196">
        <f t="shared" si="2"/>
        <v>0</v>
      </c>
      <c r="Q29" s="688">
        <f t="shared" si="3"/>
        <v>0</v>
      </c>
      <c r="R29" s="693" t="s">
        <v>4232</v>
      </c>
      <c r="S29" s="916" t="s">
        <v>4832</v>
      </c>
      <c r="T29" s="916">
        <v>28085</v>
      </c>
      <c r="U29" s="916">
        <f t="shared" si="5"/>
        <v>1915</v>
      </c>
      <c r="V29" s="988">
        <v>954890000</v>
      </c>
    </row>
    <row r="30" spans="1:22" ht="30">
      <c r="A30" s="177">
        <v>23</v>
      </c>
      <c r="B30" s="73" t="s">
        <v>1781</v>
      </c>
      <c r="C30" s="63" t="s">
        <v>1782</v>
      </c>
      <c r="D30" s="119">
        <v>5100</v>
      </c>
      <c r="E30" s="63" t="s">
        <v>27</v>
      </c>
      <c r="F30" s="34">
        <v>5100</v>
      </c>
      <c r="G30" s="65">
        <v>0</v>
      </c>
      <c r="H30" s="32">
        <v>1275</v>
      </c>
      <c r="I30" s="32">
        <v>1275</v>
      </c>
      <c r="J30" s="32">
        <v>1275</v>
      </c>
      <c r="K30" s="32">
        <v>1275</v>
      </c>
      <c r="L30" s="197">
        <v>37900</v>
      </c>
      <c r="M30" s="198">
        <f t="shared" si="4"/>
        <v>193290000</v>
      </c>
      <c r="N30" s="194">
        <f t="shared" si="0"/>
        <v>48322500</v>
      </c>
      <c r="O30" s="195">
        <f t="shared" si="1"/>
        <v>48322500</v>
      </c>
      <c r="P30" s="196">
        <f t="shared" si="2"/>
        <v>48322500</v>
      </c>
      <c r="Q30" s="688">
        <f t="shared" si="3"/>
        <v>48322500</v>
      </c>
      <c r="R30" s="693" t="s">
        <v>4232</v>
      </c>
      <c r="S30" s="916"/>
      <c r="T30" s="916"/>
      <c r="U30" s="916">
        <f t="shared" si="5"/>
        <v>5100</v>
      </c>
      <c r="V30" s="988"/>
    </row>
    <row r="31" spans="1:22" ht="15.75">
      <c r="A31" s="177">
        <v>24</v>
      </c>
      <c r="B31" s="73" t="s">
        <v>597</v>
      </c>
      <c r="C31" s="63" t="s">
        <v>1783</v>
      </c>
      <c r="D31" s="119">
        <v>4860</v>
      </c>
      <c r="E31" s="63" t="s">
        <v>27</v>
      </c>
      <c r="F31" s="34">
        <v>4860</v>
      </c>
      <c r="G31" s="65">
        <v>0</v>
      </c>
      <c r="H31" s="32">
        <v>1215</v>
      </c>
      <c r="I31" s="32">
        <v>1215</v>
      </c>
      <c r="J31" s="32">
        <v>1215</v>
      </c>
      <c r="K31" s="32">
        <v>1215</v>
      </c>
      <c r="L31" s="197">
        <v>33327</v>
      </c>
      <c r="M31" s="198">
        <f t="shared" si="4"/>
        <v>161969220</v>
      </c>
      <c r="N31" s="194">
        <f t="shared" si="0"/>
        <v>40492305</v>
      </c>
      <c r="O31" s="195">
        <f t="shared" si="1"/>
        <v>40492305</v>
      </c>
      <c r="P31" s="196">
        <f t="shared" si="2"/>
        <v>40492305</v>
      </c>
      <c r="Q31" s="688">
        <f t="shared" si="3"/>
        <v>40492305</v>
      </c>
      <c r="R31" s="686" t="s">
        <v>4227</v>
      </c>
      <c r="S31" s="916"/>
      <c r="T31" s="916"/>
      <c r="U31" s="916">
        <f t="shared" si="5"/>
        <v>4860</v>
      </c>
      <c r="V31" s="988"/>
    </row>
    <row r="32" spans="1:22" ht="31.5">
      <c r="A32" s="177">
        <v>25</v>
      </c>
      <c r="B32" s="73" t="s">
        <v>1906</v>
      </c>
      <c r="C32" s="63" t="s">
        <v>1784</v>
      </c>
      <c r="D32" s="119">
        <v>6000</v>
      </c>
      <c r="E32" s="63" t="s">
        <v>27</v>
      </c>
      <c r="F32" s="34">
        <v>6000</v>
      </c>
      <c r="G32" s="35">
        <v>0</v>
      </c>
      <c r="H32" s="36">
        <v>1500</v>
      </c>
      <c r="I32" s="36">
        <v>1500</v>
      </c>
      <c r="J32" s="36">
        <v>1500</v>
      </c>
      <c r="K32" s="36">
        <v>1500</v>
      </c>
      <c r="L32" s="197">
        <v>115000</v>
      </c>
      <c r="M32" s="198">
        <f t="shared" si="4"/>
        <v>690000000</v>
      </c>
      <c r="N32" s="194">
        <f t="shared" si="0"/>
        <v>172500000</v>
      </c>
      <c r="O32" s="195">
        <f t="shared" si="1"/>
        <v>172500000</v>
      </c>
      <c r="P32" s="196">
        <f t="shared" si="2"/>
        <v>172500000</v>
      </c>
      <c r="Q32" s="688">
        <f t="shared" si="3"/>
        <v>172500000</v>
      </c>
      <c r="R32" s="693" t="s">
        <v>4232</v>
      </c>
      <c r="S32" s="916" t="s">
        <v>4833</v>
      </c>
      <c r="T32" s="916">
        <v>6001</v>
      </c>
      <c r="U32" s="916">
        <f t="shared" si="5"/>
        <v>-1</v>
      </c>
      <c r="V32" s="988">
        <v>420070000</v>
      </c>
    </row>
    <row r="33" spans="1:23" ht="30">
      <c r="A33" s="177">
        <v>26</v>
      </c>
      <c r="B33" s="73" t="s">
        <v>1905</v>
      </c>
      <c r="C33" s="63"/>
      <c r="D33" s="119">
        <v>3840</v>
      </c>
      <c r="E33" s="63"/>
      <c r="F33" s="34">
        <v>0</v>
      </c>
      <c r="G33" s="35">
        <v>3840</v>
      </c>
      <c r="H33" s="36">
        <v>768</v>
      </c>
      <c r="I33" s="36">
        <v>1152</v>
      </c>
      <c r="J33" s="36">
        <v>1152</v>
      </c>
      <c r="K33" s="36">
        <v>768</v>
      </c>
      <c r="L33" s="197">
        <v>115000</v>
      </c>
      <c r="M33" s="198">
        <f t="shared" si="4"/>
        <v>441600000</v>
      </c>
      <c r="N33" s="194">
        <f t="shared" si="0"/>
        <v>88320000</v>
      </c>
      <c r="O33" s="195">
        <f t="shared" si="1"/>
        <v>132480000</v>
      </c>
      <c r="P33" s="196">
        <f t="shared" si="2"/>
        <v>132480000</v>
      </c>
      <c r="Q33" s="688">
        <f t="shared" si="3"/>
        <v>88320000</v>
      </c>
      <c r="R33" s="693" t="s">
        <v>4232</v>
      </c>
      <c r="S33" s="916"/>
      <c r="T33" s="916"/>
      <c r="U33" s="916">
        <f t="shared" si="5"/>
        <v>3840</v>
      </c>
      <c r="V33" s="988"/>
    </row>
    <row r="34" spans="1:23" ht="45">
      <c r="A34" s="177">
        <v>27</v>
      </c>
      <c r="B34" s="73" t="s">
        <v>1785</v>
      </c>
      <c r="C34" s="63" t="s">
        <v>1786</v>
      </c>
      <c r="D34" s="119">
        <v>100</v>
      </c>
      <c r="E34" s="63" t="s">
        <v>390</v>
      </c>
      <c r="F34" s="63">
        <v>100</v>
      </c>
      <c r="G34" s="65">
        <v>0</v>
      </c>
      <c r="H34" s="67">
        <v>50</v>
      </c>
      <c r="I34" s="67">
        <v>0</v>
      </c>
      <c r="J34" s="67">
        <v>0</v>
      </c>
      <c r="K34" s="67">
        <v>50</v>
      </c>
      <c r="L34" s="197">
        <v>152000</v>
      </c>
      <c r="M34" s="198">
        <f t="shared" si="4"/>
        <v>15200000</v>
      </c>
      <c r="N34" s="194">
        <f t="shared" si="0"/>
        <v>7600000</v>
      </c>
      <c r="O34" s="195">
        <f t="shared" si="1"/>
        <v>0</v>
      </c>
      <c r="P34" s="196">
        <f t="shared" si="2"/>
        <v>0</v>
      </c>
      <c r="Q34" s="688">
        <f t="shared" si="3"/>
        <v>7600000</v>
      </c>
      <c r="R34" s="693" t="s">
        <v>4232</v>
      </c>
      <c r="S34" s="916" t="s">
        <v>4757</v>
      </c>
      <c r="T34" s="916">
        <v>400</v>
      </c>
      <c r="U34" s="916">
        <f t="shared" si="5"/>
        <v>-300</v>
      </c>
      <c r="V34" s="988">
        <v>3400000</v>
      </c>
      <c r="W34" s="979" t="s">
        <v>4758</v>
      </c>
    </row>
    <row r="35" spans="1:23" ht="15.75">
      <c r="A35" s="177">
        <v>28</v>
      </c>
      <c r="B35" s="73" t="s">
        <v>1787</v>
      </c>
      <c r="C35" s="73" t="s">
        <v>1788</v>
      </c>
      <c r="D35" s="119">
        <v>2000</v>
      </c>
      <c r="E35" s="63" t="s">
        <v>27</v>
      </c>
      <c r="F35" s="34">
        <v>2000</v>
      </c>
      <c r="G35" s="35">
        <v>0</v>
      </c>
      <c r="H35" s="36">
        <v>1000</v>
      </c>
      <c r="I35" s="36">
        <v>0</v>
      </c>
      <c r="J35" s="36">
        <v>0</v>
      </c>
      <c r="K35" s="36">
        <v>1000</v>
      </c>
      <c r="L35" s="197">
        <v>34450</v>
      </c>
      <c r="M35" s="198">
        <f t="shared" si="4"/>
        <v>68900000</v>
      </c>
      <c r="N35" s="194">
        <f t="shared" si="0"/>
        <v>34450000</v>
      </c>
      <c r="O35" s="195">
        <f t="shared" si="1"/>
        <v>0</v>
      </c>
      <c r="P35" s="196">
        <f t="shared" si="2"/>
        <v>0</v>
      </c>
      <c r="Q35" s="688">
        <f t="shared" si="3"/>
        <v>34450000</v>
      </c>
      <c r="R35" s="686" t="s">
        <v>4227</v>
      </c>
      <c r="S35" s="916"/>
      <c r="T35" s="916"/>
      <c r="U35" s="916">
        <f t="shared" si="5"/>
        <v>2000</v>
      </c>
      <c r="V35" s="988"/>
    </row>
    <row r="36" spans="1:23" ht="15.75">
      <c r="A36" s="177">
        <v>29</v>
      </c>
      <c r="B36" s="73" t="s">
        <v>1787</v>
      </c>
      <c r="C36" s="73" t="s">
        <v>1788</v>
      </c>
      <c r="D36" s="119">
        <v>7745</v>
      </c>
      <c r="E36" s="63" t="s">
        <v>27</v>
      </c>
      <c r="F36" s="34">
        <v>0</v>
      </c>
      <c r="G36" s="35">
        <v>7745</v>
      </c>
      <c r="H36" s="36">
        <v>1665</v>
      </c>
      <c r="I36" s="36">
        <v>2280</v>
      </c>
      <c r="J36" s="36">
        <v>2280</v>
      </c>
      <c r="K36" s="36">
        <v>1520</v>
      </c>
      <c r="L36" s="197">
        <v>34450</v>
      </c>
      <c r="M36" s="198">
        <f t="shared" si="4"/>
        <v>266815250</v>
      </c>
      <c r="N36" s="194">
        <f t="shared" si="0"/>
        <v>57359250</v>
      </c>
      <c r="O36" s="195">
        <f t="shared" si="1"/>
        <v>78546000</v>
      </c>
      <c r="P36" s="196">
        <f t="shared" si="2"/>
        <v>78546000</v>
      </c>
      <c r="Q36" s="688">
        <f t="shared" si="3"/>
        <v>52364000</v>
      </c>
      <c r="R36" s="686" t="s">
        <v>4227</v>
      </c>
      <c r="S36" s="916"/>
      <c r="T36" s="916"/>
      <c r="U36" s="916">
        <f t="shared" si="5"/>
        <v>7745</v>
      </c>
      <c r="V36" s="988"/>
    </row>
    <row r="37" spans="1:23" ht="30">
      <c r="A37" s="177">
        <v>30</v>
      </c>
      <c r="B37" s="73" t="s">
        <v>1925</v>
      </c>
      <c r="C37" s="73"/>
      <c r="D37" s="119">
        <v>70</v>
      </c>
      <c r="E37" s="63" t="s">
        <v>27</v>
      </c>
      <c r="F37" s="34"/>
      <c r="G37" s="35">
        <v>70</v>
      </c>
      <c r="H37" s="36">
        <v>70</v>
      </c>
      <c r="I37" s="36"/>
      <c r="J37" s="36"/>
      <c r="K37" s="36"/>
      <c r="L37" s="197">
        <v>25520</v>
      </c>
      <c r="M37" s="198">
        <f t="shared" si="4"/>
        <v>1786400</v>
      </c>
      <c r="N37" s="194">
        <f t="shared" si="0"/>
        <v>1786400</v>
      </c>
      <c r="O37" s="195">
        <f t="shared" si="1"/>
        <v>0</v>
      </c>
      <c r="P37" s="196">
        <f t="shared" si="2"/>
        <v>0</v>
      </c>
      <c r="Q37" s="688">
        <f t="shared" si="3"/>
        <v>0</v>
      </c>
      <c r="R37" s="693" t="s">
        <v>4232</v>
      </c>
      <c r="S37" s="916"/>
      <c r="T37" s="916"/>
      <c r="U37" s="916">
        <f t="shared" si="5"/>
        <v>70</v>
      </c>
      <c r="V37" s="988"/>
    </row>
    <row r="38" spans="1:23" ht="31.5">
      <c r="A38" s="177">
        <v>31</v>
      </c>
      <c r="B38" s="73" t="s">
        <v>1789</v>
      </c>
      <c r="C38" s="73" t="s">
        <v>1790</v>
      </c>
      <c r="D38" s="119">
        <v>400</v>
      </c>
      <c r="E38" s="63" t="s">
        <v>27</v>
      </c>
      <c r="F38" s="63">
        <v>400</v>
      </c>
      <c r="G38" s="65">
        <v>0</v>
      </c>
      <c r="H38" s="67">
        <v>100</v>
      </c>
      <c r="I38" s="67">
        <v>100</v>
      </c>
      <c r="J38" s="67">
        <v>100</v>
      </c>
      <c r="K38" s="67">
        <v>100</v>
      </c>
      <c r="L38" s="197">
        <v>41800</v>
      </c>
      <c r="M38" s="198">
        <f t="shared" si="4"/>
        <v>16720000</v>
      </c>
      <c r="N38" s="194">
        <f t="shared" si="0"/>
        <v>4180000</v>
      </c>
      <c r="O38" s="195">
        <f t="shared" si="1"/>
        <v>4180000</v>
      </c>
      <c r="P38" s="196">
        <f t="shared" si="2"/>
        <v>4180000</v>
      </c>
      <c r="Q38" s="688">
        <f t="shared" si="3"/>
        <v>4180000</v>
      </c>
      <c r="R38" s="693" t="s">
        <v>4232</v>
      </c>
      <c r="S38" s="916"/>
      <c r="T38" s="916"/>
      <c r="U38" s="916">
        <f t="shared" si="5"/>
        <v>400</v>
      </c>
      <c r="V38" s="988"/>
    </row>
    <row r="39" spans="1:23" ht="31.5">
      <c r="A39" s="177">
        <v>32</v>
      </c>
      <c r="B39" s="178" t="s">
        <v>1791</v>
      </c>
      <c r="C39" s="178"/>
      <c r="D39" s="119">
        <v>1200</v>
      </c>
      <c r="E39" s="77" t="s">
        <v>27</v>
      </c>
      <c r="F39" s="31">
        <v>1200</v>
      </c>
      <c r="G39" s="35">
        <v>0</v>
      </c>
      <c r="H39" s="67">
        <v>300</v>
      </c>
      <c r="I39" s="67">
        <v>300</v>
      </c>
      <c r="J39" s="67">
        <v>300</v>
      </c>
      <c r="K39" s="67">
        <v>300</v>
      </c>
      <c r="L39" s="197">
        <v>94600</v>
      </c>
      <c r="M39" s="198">
        <f t="shared" si="4"/>
        <v>113520000</v>
      </c>
      <c r="N39" s="194">
        <f t="shared" si="0"/>
        <v>28380000</v>
      </c>
      <c r="O39" s="195">
        <f t="shared" si="1"/>
        <v>28380000</v>
      </c>
      <c r="P39" s="196">
        <f t="shared" si="2"/>
        <v>28380000</v>
      </c>
      <c r="Q39" s="688">
        <f t="shared" si="3"/>
        <v>28380000</v>
      </c>
      <c r="R39" s="693" t="s">
        <v>4232</v>
      </c>
      <c r="S39" s="916"/>
      <c r="T39" s="916"/>
      <c r="U39" s="916">
        <f t="shared" si="5"/>
        <v>1200</v>
      </c>
      <c r="V39" s="988"/>
    </row>
    <row r="40" spans="1:23" ht="15.75">
      <c r="A40" s="177">
        <v>33</v>
      </c>
      <c r="B40" s="73" t="s">
        <v>1792</v>
      </c>
      <c r="C40" s="65"/>
      <c r="D40" s="119">
        <v>200</v>
      </c>
      <c r="E40" s="63" t="s">
        <v>390</v>
      </c>
      <c r="F40" s="63">
        <v>20</v>
      </c>
      <c r="G40" s="35">
        <v>200</v>
      </c>
      <c r="H40" s="67">
        <v>40</v>
      </c>
      <c r="I40" s="67">
        <v>60</v>
      </c>
      <c r="J40" s="67">
        <v>60</v>
      </c>
      <c r="K40" s="67">
        <v>40</v>
      </c>
      <c r="L40" s="197">
        <v>65600</v>
      </c>
      <c r="M40" s="198">
        <f t="shared" si="4"/>
        <v>13120000</v>
      </c>
      <c r="N40" s="194">
        <f t="shared" si="0"/>
        <v>2624000</v>
      </c>
      <c r="O40" s="195">
        <f t="shared" si="1"/>
        <v>3936000</v>
      </c>
      <c r="P40" s="196">
        <f t="shared" si="2"/>
        <v>3936000</v>
      </c>
      <c r="Q40" s="688">
        <f t="shared" si="3"/>
        <v>2624000</v>
      </c>
      <c r="R40" s="686" t="s">
        <v>4227</v>
      </c>
      <c r="S40" s="916"/>
      <c r="T40" s="916"/>
      <c r="U40" s="916">
        <f t="shared" si="5"/>
        <v>200</v>
      </c>
      <c r="V40" s="988"/>
    </row>
    <row r="41" spans="1:23" ht="18.75">
      <c r="A41" s="1149" t="s">
        <v>2816</v>
      </c>
      <c r="B41" s="1149"/>
      <c r="C41" s="1149"/>
      <c r="D41" s="1149"/>
      <c r="E41" s="1149"/>
      <c r="F41" s="1149"/>
      <c r="G41" s="1149"/>
      <c r="H41" s="1149"/>
      <c r="I41" s="1149"/>
      <c r="J41" s="1149"/>
      <c r="K41" s="1149"/>
      <c r="L41" s="383"/>
      <c r="M41" s="410">
        <f>SUM(M10,M8,M6,M4)</f>
        <v>88050106770</v>
      </c>
      <c r="N41" s="410">
        <f>SUM(N10,N8,N6,N4)</f>
        <v>15845573135</v>
      </c>
      <c r="O41" s="410">
        <f>SUM(O10,O8,O6,O4)</f>
        <v>24279143825</v>
      </c>
      <c r="P41" s="410">
        <f>SUM(P10,P8,P6,P4)</f>
        <v>24163993825</v>
      </c>
      <c r="Q41" s="690">
        <f>SUM(Q10,Q8,Q6,Q4)</f>
        <v>23761395985</v>
      </c>
      <c r="R41" s="461"/>
      <c r="S41" s="453"/>
      <c r="T41" s="453"/>
      <c r="U41" s="453"/>
      <c r="V41" s="989"/>
    </row>
    <row r="43" spans="1:23">
      <c r="S43" s="458" t="e">
        <f>#REF!/3</f>
        <v>#REF!</v>
      </c>
    </row>
    <row r="44" spans="1:23">
      <c r="N44" s="448"/>
    </row>
    <row r="45" spans="1:23">
      <c r="P45" s="448"/>
    </row>
  </sheetData>
  <customSheetViews>
    <customSheetView guid="{750F99BE-5C19-4848-A09A-0E4FD0F9F8FC}" topLeftCell="A31">
      <selection activeCell="M46" sqref="M46"/>
      <pageMargins left="0.7" right="0.7" top="0.75" bottom="0.75" header="0.3" footer="0.3"/>
      <pageSetup paperSize="9" orientation="portrait" verticalDpi="0" r:id="rId1"/>
    </customSheetView>
    <customSheetView guid="{DEF9C65D-F8A0-4631-A6BF-69DD462E745F}" topLeftCell="A31">
      <selection activeCell="M46" sqref="M46"/>
      <pageMargins left="0.7" right="0.7" top="0.75" bottom="0.75" header="0.3" footer="0.3"/>
      <pageSetup paperSize="9" orientation="portrait" verticalDpi="0" r:id="rId2"/>
    </customSheetView>
    <customSheetView guid="{F53706EC-596C-4347-9C22-A701412B0A41}" topLeftCell="A31">
      <selection activeCell="M46" sqref="M46"/>
      <pageMargins left="0.7" right="0.7" top="0.75" bottom="0.75" header="0.3" footer="0.3"/>
      <pageSetup paperSize="9" orientation="portrait" verticalDpi="0" r:id="rId3"/>
    </customSheetView>
    <customSheetView guid="{93AFD236-396B-4FF3-AB41-05714D8754DB}" topLeftCell="A31">
      <selection activeCell="M46" sqref="M46"/>
      <pageMargins left="0.7" right="0.7" top="0.75" bottom="0.75" header="0.3" footer="0.3"/>
      <pageSetup paperSize="9" orientation="portrait" verticalDpi="0" r:id="rId4"/>
    </customSheetView>
  </customSheetViews>
  <mergeCells count="24">
    <mergeCell ref="A10:C10"/>
    <mergeCell ref="R1:R2"/>
    <mergeCell ref="Q1:Q2"/>
    <mergeCell ref="L1:L2"/>
    <mergeCell ref="M1:M2"/>
    <mergeCell ref="N1:N2"/>
    <mergeCell ref="O1:O2"/>
    <mergeCell ref="P1:P2"/>
    <mergeCell ref="S1:S2"/>
    <mergeCell ref="T1:T2"/>
    <mergeCell ref="U1:U2"/>
    <mergeCell ref="V1:V2"/>
    <mergeCell ref="A41:K41"/>
    <mergeCell ref="H1:K1"/>
    <mergeCell ref="A1:A2"/>
    <mergeCell ref="B1:B2"/>
    <mergeCell ref="C1:C2"/>
    <mergeCell ref="D1:D2"/>
    <mergeCell ref="E1:E2"/>
    <mergeCell ref="G1:G2"/>
    <mergeCell ref="F1:F2"/>
    <mergeCell ref="A4:C4"/>
    <mergeCell ref="A6:C6"/>
    <mergeCell ref="A8:C8"/>
  </mergeCells>
  <pageMargins left="0.7" right="0.7" top="0.75" bottom="0.75" header="0.3" footer="0.3"/>
  <pageSetup paperSize="9" orientation="portrait" verticalDpi="0"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U126"/>
  <sheetViews>
    <sheetView zoomScale="70" zoomScaleNormal="70" workbookViewId="0">
      <selection activeCell="N1" sqref="N1:U1048576"/>
    </sheetView>
  </sheetViews>
  <sheetFormatPr defaultRowHeight="15"/>
  <cols>
    <col min="1" max="1" width="5" style="87" customWidth="1"/>
    <col min="2" max="2" width="68" style="87" customWidth="1"/>
    <col min="3" max="3" width="23" style="87" customWidth="1"/>
    <col min="4" max="4" width="10.5703125" style="87" customWidth="1"/>
    <col min="5" max="5" width="16" style="87" hidden="1" customWidth="1"/>
    <col min="6" max="6" width="67.7109375" style="87" bestFit="1" customWidth="1"/>
    <col min="7" max="7" width="8.42578125" style="87" hidden="1" customWidth="1"/>
    <col min="8" max="8" width="7.5703125" style="87" hidden="1" customWidth="1"/>
    <col min="9" max="9" width="8" style="87" customWidth="1"/>
    <col min="10" max="10" width="7.42578125" style="87" customWidth="1"/>
    <col min="11" max="11" width="17.28515625" style="39" hidden="1" customWidth="1"/>
    <col min="12" max="12" width="18.5703125" style="669" hidden="1" customWidth="1"/>
    <col min="13" max="13" width="18.42578125" style="669" hidden="1" customWidth="1"/>
    <col min="14" max="15" width="23.85546875" style="669" hidden="1" customWidth="1"/>
    <col min="16" max="16" width="18.42578125" style="669" hidden="1" customWidth="1"/>
    <col min="17" max="17" width="41.28515625" style="669" hidden="1" customWidth="1"/>
    <col min="18" max="18" width="10.7109375" style="669" hidden="1" customWidth="1"/>
    <col min="19" max="19" width="16.5703125" style="669" hidden="1" customWidth="1"/>
    <col min="20" max="20" width="9.42578125" style="669" hidden="1" customWidth="1"/>
    <col min="21" max="21" width="14.28515625" style="669" hidden="1" customWidth="1"/>
    <col min="22" max="16384" width="9.140625" style="669"/>
  </cols>
  <sheetData>
    <row r="1" spans="1:21" ht="18.75" customHeight="1">
      <c r="A1" s="1151" t="s">
        <v>595</v>
      </c>
      <c r="B1" s="1152" t="s">
        <v>272</v>
      </c>
      <c r="C1" s="1152" t="s">
        <v>4238</v>
      </c>
      <c r="D1" s="1166" t="s">
        <v>274</v>
      </c>
      <c r="E1" s="1152" t="s">
        <v>1</v>
      </c>
      <c r="F1" s="1154" t="s">
        <v>275</v>
      </c>
      <c r="G1" s="1165" t="s">
        <v>2</v>
      </c>
      <c r="H1" s="1165"/>
      <c r="I1" s="1165"/>
      <c r="J1" s="1165"/>
      <c r="K1" s="1160" t="s">
        <v>2881</v>
      </c>
      <c r="L1" s="1159" t="s">
        <v>2882</v>
      </c>
      <c r="M1" s="1159" t="s">
        <v>2883</v>
      </c>
      <c r="N1" s="1159" t="s">
        <v>2884</v>
      </c>
      <c r="O1" s="1159" t="s">
        <v>2885</v>
      </c>
      <c r="P1" s="1159" t="s">
        <v>2886</v>
      </c>
      <c r="Q1" s="1090" t="s">
        <v>4230</v>
      </c>
      <c r="R1" s="1119" t="s">
        <v>4700</v>
      </c>
      <c r="S1" s="1119" t="s">
        <v>4701</v>
      </c>
      <c r="T1" s="1119" t="s">
        <v>4702</v>
      </c>
      <c r="U1" s="1119" t="s">
        <v>2882</v>
      </c>
    </row>
    <row r="2" spans="1:21" ht="56.25">
      <c r="A2" s="1151"/>
      <c r="B2" s="1152"/>
      <c r="C2" s="1152"/>
      <c r="D2" s="1166"/>
      <c r="E2" s="1152"/>
      <c r="F2" s="1154"/>
      <c r="G2" s="737" t="s">
        <v>3</v>
      </c>
      <c r="H2" s="737" t="s">
        <v>4</v>
      </c>
      <c r="I2" s="737" t="s">
        <v>5</v>
      </c>
      <c r="J2" s="737" t="s">
        <v>6</v>
      </c>
      <c r="K2" s="1160"/>
      <c r="L2" s="1159"/>
      <c r="M2" s="1159"/>
      <c r="N2" s="1159"/>
      <c r="O2" s="1159"/>
      <c r="P2" s="1159"/>
      <c r="Q2" s="1090"/>
      <c r="R2" s="1119"/>
      <c r="S2" s="1119"/>
      <c r="T2" s="1119"/>
      <c r="U2" s="1119"/>
    </row>
    <row r="3" spans="1:21" ht="18.75" customHeight="1">
      <c r="A3" s="1161" t="s">
        <v>276</v>
      </c>
      <c r="B3" s="1162"/>
      <c r="C3" s="1162"/>
      <c r="D3" s="1162"/>
      <c r="E3" s="1162"/>
      <c r="F3" s="1162"/>
      <c r="G3" s="1162"/>
      <c r="H3" s="1162"/>
      <c r="I3" s="1162"/>
      <c r="J3" s="1162"/>
      <c r="K3" s="1162"/>
      <c r="L3" s="1162"/>
      <c r="M3" s="1162"/>
      <c r="N3" s="1162"/>
      <c r="O3" s="1162"/>
      <c r="P3" s="1162"/>
      <c r="Q3" s="1162"/>
      <c r="R3" s="383"/>
      <c r="S3" s="383"/>
      <c r="T3" s="383"/>
      <c r="U3" s="383"/>
    </row>
    <row r="4" spans="1:21" ht="18.75">
      <c r="A4" s="670">
        <v>1</v>
      </c>
      <c r="B4" s="670" t="s">
        <v>277</v>
      </c>
      <c r="C4" s="16"/>
      <c r="D4" s="69">
        <f>G4+H4+I4+J4</f>
        <v>200</v>
      </c>
      <c r="E4" s="670" t="s">
        <v>278</v>
      </c>
      <c r="F4" s="112" t="s">
        <v>2719</v>
      </c>
      <c r="G4" s="731"/>
      <c r="H4" s="731"/>
      <c r="I4" s="731">
        <v>100</v>
      </c>
      <c r="J4" s="731">
        <v>100</v>
      </c>
      <c r="K4" s="389">
        <v>120000</v>
      </c>
      <c r="L4" s="201">
        <f>K4*D4</f>
        <v>24000000</v>
      </c>
      <c r="M4" s="202">
        <f>K4*G4</f>
        <v>0</v>
      </c>
      <c r="N4" s="203">
        <f>K4*H4</f>
        <v>0</v>
      </c>
      <c r="O4" s="204">
        <f>K4*I4</f>
        <v>12000000</v>
      </c>
      <c r="P4" s="205">
        <f>K4*J4</f>
        <v>12000000</v>
      </c>
      <c r="Q4" s="834" t="s">
        <v>4236</v>
      </c>
      <c r="R4" s="383"/>
      <c r="S4" s="383"/>
      <c r="T4" s="383"/>
      <c r="U4" s="383"/>
    </row>
    <row r="5" spans="1:21" ht="15.75">
      <c r="A5" s="670">
        <v>2</v>
      </c>
      <c r="B5" s="670" t="s">
        <v>279</v>
      </c>
      <c r="C5" s="17" t="s">
        <v>280</v>
      </c>
      <c r="D5" s="69">
        <f t="shared" ref="D5:D68" si="0">G5+H5+I5+J5</f>
        <v>866</v>
      </c>
      <c r="E5" s="670" t="s">
        <v>278</v>
      </c>
      <c r="F5" s="112" t="s">
        <v>281</v>
      </c>
      <c r="G5" s="671">
        <v>173</v>
      </c>
      <c r="H5" s="671">
        <v>260</v>
      </c>
      <c r="I5" s="671">
        <v>260</v>
      </c>
      <c r="J5" s="671">
        <v>173</v>
      </c>
      <c r="K5" s="389">
        <v>600000</v>
      </c>
      <c r="L5" s="201">
        <f t="shared" ref="L5:L68" si="1">K5*D5</f>
        <v>519600000</v>
      </c>
      <c r="M5" s="202">
        <f>K5*G5</f>
        <v>103800000</v>
      </c>
      <c r="N5" s="203">
        <f t="shared" ref="N5:N68" si="2">K5*H5</f>
        <v>156000000</v>
      </c>
      <c r="O5" s="204">
        <f t="shared" ref="O5:O68" si="3">K5*I5</f>
        <v>156000000</v>
      </c>
      <c r="P5" s="205">
        <f t="shared" ref="P5:P68" si="4">K5*J5</f>
        <v>103800000</v>
      </c>
      <c r="Q5" s="825" t="s">
        <v>4227</v>
      </c>
      <c r="R5" s="383"/>
      <c r="S5" s="383"/>
      <c r="T5" s="383"/>
      <c r="U5" s="383"/>
    </row>
    <row r="6" spans="1:21" ht="18.75">
      <c r="A6" s="670">
        <v>3</v>
      </c>
      <c r="B6" s="670" t="s">
        <v>282</v>
      </c>
      <c r="C6" s="16"/>
      <c r="D6" s="69">
        <f t="shared" si="0"/>
        <v>500</v>
      </c>
      <c r="E6" s="670" t="s">
        <v>278</v>
      </c>
      <c r="F6" s="112" t="s">
        <v>283</v>
      </c>
      <c r="G6" s="671"/>
      <c r="H6" s="671"/>
      <c r="I6" s="732">
        <v>200</v>
      </c>
      <c r="J6" s="732">
        <v>300</v>
      </c>
      <c r="K6" s="739">
        <v>410000</v>
      </c>
      <c r="L6" s="201">
        <f t="shared" si="1"/>
        <v>205000000</v>
      </c>
      <c r="M6" s="202">
        <f t="shared" ref="M6:M69" si="5">K6*G6</f>
        <v>0</v>
      </c>
      <c r="N6" s="203">
        <f t="shared" si="2"/>
        <v>0</v>
      </c>
      <c r="O6" s="204">
        <f t="shared" si="3"/>
        <v>82000000</v>
      </c>
      <c r="P6" s="205">
        <f t="shared" si="4"/>
        <v>123000000</v>
      </c>
      <c r="Q6" s="825" t="s">
        <v>4227</v>
      </c>
      <c r="R6" s="383"/>
      <c r="S6" s="383"/>
      <c r="T6" s="383"/>
      <c r="U6" s="383"/>
    </row>
    <row r="7" spans="1:21" ht="18.75">
      <c r="A7" s="670">
        <v>4</v>
      </c>
      <c r="B7" s="670" t="s">
        <v>284</v>
      </c>
      <c r="C7" s="17" t="s">
        <v>285</v>
      </c>
      <c r="D7" s="69">
        <f t="shared" si="0"/>
        <v>516</v>
      </c>
      <c r="E7" s="674" t="s">
        <v>286</v>
      </c>
      <c r="F7" s="112" t="s">
        <v>287</v>
      </c>
      <c r="G7" s="732"/>
      <c r="H7" s="732"/>
      <c r="I7" s="732">
        <v>258</v>
      </c>
      <c r="J7" s="732">
        <v>258</v>
      </c>
      <c r="K7" s="389">
        <v>510000</v>
      </c>
      <c r="L7" s="201">
        <f t="shared" si="1"/>
        <v>263160000</v>
      </c>
      <c r="M7" s="202">
        <f t="shared" si="5"/>
        <v>0</v>
      </c>
      <c r="N7" s="203">
        <f t="shared" si="2"/>
        <v>0</v>
      </c>
      <c r="O7" s="204">
        <f t="shared" si="3"/>
        <v>131580000</v>
      </c>
      <c r="P7" s="205">
        <f t="shared" si="4"/>
        <v>131580000</v>
      </c>
      <c r="Q7" s="825" t="s">
        <v>4227</v>
      </c>
      <c r="R7" s="383"/>
      <c r="S7" s="383"/>
      <c r="T7" s="383"/>
      <c r="U7" s="383"/>
    </row>
    <row r="8" spans="1:21" ht="18.75">
      <c r="A8" s="670">
        <v>5</v>
      </c>
      <c r="B8" s="670" t="s">
        <v>288</v>
      </c>
      <c r="C8" s="17"/>
      <c r="D8" s="69">
        <f t="shared" si="0"/>
        <v>130</v>
      </c>
      <c r="E8" s="674" t="s">
        <v>286</v>
      </c>
      <c r="F8" s="112" t="s">
        <v>289</v>
      </c>
      <c r="G8" s="732"/>
      <c r="H8" s="732"/>
      <c r="I8" s="732">
        <v>65</v>
      </c>
      <c r="J8" s="732">
        <v>65</v>
      </c>
      <c r="K8" s="389">
        <v>300000</v>
      </c>
      <c r="L8" s="201">
        <f t="shared" si="1"/>
        <v>39000000</v>
      </c>
      <c r="M8" s="202">
        <f t="shared" si="5"/>
        <v>0</v>
      </c>
      <c r="N8" s="203">
        <f t="shared" si="2"/>
        <v>0</v>
      </c>
      <c r="O8" s="204">
        <f t="shared" si="3"/>
        <v>19500000</v>
      </c>
      <c r="P8" s="205">
        <f t="shared" si="4"/>
        <v>19500000</v>
      </c>
      <c r="Q8" s="825" t="s">
        <v>4227</v>
      </c>
      <c r="R8" s="383"/>
      <c r="S8" s="383"/>
      <c r="T8" s="383"/>
      <c r="U8" s="383"/>
    </row>
    <row r="9" spans="1:21" ht="18.75">
      <c r="A9" s="670">
        <v>6</v>
      </c>
      <c r="B9" s="670" t="s">
        <v>290</v>
      </c>
      <c r="C9" s="18"/>
      <c r="D9" s="69">
        <f t="shared" si="0"/>
        <v>110</v>
      </c>
      <c r="E9" s="674" t="s">
        <v>286</v>
      </c>
      <c r="F9" s="112" t="s">
        <v>291</v>
      </c>
      <c r="G9" s="732"/>
      <c r="H9" s="732"/>
      <c r="I9" s="732">
        <v>66</v>
      </c>
      <c r="J9" s="732">
        <v>44</v>
      </c>
      <c r="K9" s="389">
        <v>250000</v>
      </c>
      <c r="L9" s="201">
        <f t="shared" si="1"/>
        <v>27500000</v>
      </c>
      <c r="M9" s="202">
        <f t="shared" si="5"/>
        <v>0</v>
      </c>
      <c r="N9" s="203">
        <f t="shared" si="2"/>
        <v>0</v>
      </c>
      <c r="O9" s="204">
        <f t="shared" si="3"/>
        <v>16500000</v>
      </c>
      <c r="P9" s="205">
        <f t="shared" si="4"/>
        <v>11000000</v>
      </c>
      <c r="Q9" s="825" t="s">
        <v>4227</v>
      </c>
      <c r="R9" s="383"/>
      <c r="S9" s="383"/>
      <c r="T9" s="383"/>
      <c r="U9" s="383"/>
    </row>
    <row r="10" spans="1:21" ht="18.75">
      <c r="A10" s="670">
        <v>7</v>
      </c>
      <c r="B10" s="670" t="s">
        <v>292</v>
      </c>
      <c r="C10" s="16"/>
      <c r="D10" s="69">
        <f t="shared" si="0"/>
        <v>1000</v>
      </c>
      <c r="E10" s="670" t="s">
        <v>278</v>
      </c>
      <c r="F10" s="117" t="s">
        <v>293</v>
      </c>
      <c r="G10" s="731"/>
      <c r="H10" s="731"/>
      <c r="I10" s="731">
        <v>500</v>
      </c>
      <c r="J10" s="731">
        <v>500</v>
      </c>
      <c r="K10" s="389">
        <v>310000</v>
      </c>
      <c r="L10" s="201">
        <f t="shared" si="1"/>
        <v>310000000</v>
      </c>
      <c r="M10" s="202">
        <f t="shared" si="5"/>
        <v>0</v>
      </c>
      <c r="N10" s="203">
        <f t="shared" si="2"/>
        <v>0</v>
      </c>
      <c r="O10" s="204">
        <f t="shared" si="3"/>
        <v>155000000</v>
      </c>
      <c r="P10" s="205">
        <f t="shared" si="4"/>
        <v>155000000</v>
      </c>
      <c r="Q10" s="825" t="s">
        <v>4227</v>
      </c>
      <c r="R10" s="383"/>
      <c r="S10" s="383"/>
      <c r="T10" s="383"/>
      <c r="U10" s="383"/>
    </row>
    <row r="11" spans="1:21" ht="15.75">
      <c r="A11" s="670">
        <v>8</v>
      </c>
      <c r="B11" s="674" t="s">
        <v>294</v>
      </c>
      <c r="C11" s="16"/>
      <c r="D11" s="69">
        <f t="shared" si="0"/>
        <v>34</v>
      </c>
      <c r="E11" s="670" t="s">
        <v>278</v>
      </c>
      <c r="F11" s="117" t="s">
        <v>295</v>
      </c>
      <c r="G11" s="671">
        <v>7</v>
      </c>
      <c r="H11" s="671">
        <v>10</v>
      </c>
      <c r="I11" s="671">
        <v>10</v>
      </c>
      <c r="J11" s="671">
        <v>7</v>
      </c>
      <c r="K11" s="389">
        <v>170000</v>
      </c>
      <c r="L11" s="201">
        <f t="shared" si="1"/>
        <v>5780000</v>
      </c>
      <c r="M11" s="202">
        <f t="shared" si="5"/>
        <v>1190000</v>
      </c>
      <c r="N11" s="203">
        <f t="shared" si="2"/>
        <v>1700000</v>
      </c>
      <c r="O11" s="204">
        <f t="shared" si="3"/>
        <v>1700000</v>
      </c>
      <c r="P11" s="205">
        <f t="shared" si="4"/>
        <v>1190000</v>
      </c>
      <c r="Q11" s="825" t="s">
        <v>4227</v>
      </c>
      <c r="R11" s="383"/>
      <c r="S11" s="383"/>
      <c r="T11" s="383"/>
      <c r="U11" s="383"/>
    </row>
    <row r="12" spans="1:21" ht="18.75">
      <c r="A12" s="453">
        <v>9</v>
      </c>
      <c r="B12" s="736" t="s">
        <v>296</v>
      </c>
      <c r="C12" s="165"/>
      <c r="D12" s="69">
        <f t="shared" si="0"/>
        <v>40</v>
      </c>
      <c r="E12" s="453" t="s">
        <v>278</v>
      </c>
      <c r="F12" s="390" t="s">
        <v>297</v>
      </c>
      <c r="G12" s="740">
        <v>0</v>
      </c>
      <c r="H12" s="740">
        <v>12</v>
      </c>
      <c r="I12" s="740">
        <v>12</v>
      </c>
      <c r="J12" s="740">
        <v>16</v>
      </c>
      <c r="K12" s="389">
        <v>900000</v>
      </c>
      <c r="L12" s="69">
        <f t="shared" si="1"/>
        <v>36000000</v>
      </c>
      <c r="M12" s="69">
        <f t="shared" si="5"/>
        <v>0</v>
      </c>
      <c r="N12" s="69">
        <f t="shared" si="2"/>
        <v>10800000</v>
      </c>
      <c r="O12" s="69">
        <f t="shared" si="3"/>
        <v>10800000</v>
      </c>
      <c r="P12" s="69">
        <f t="shared" si="4"/>
        <v>14400000</v>
      </c>
      <c r="Q12" s="859" t="s">
        <v>4227</v>
      </c>
      <c r="R12" s="383"/>
      <c r="S12" s="383"/>
      <c r="T12" s="383"/>
      <c r="U12" s="383"/>
    </row>
    <row r="13" spans="1:21" ht="18.75">
      <c r="A13" s="670">
        <v>10</v>
      </c>
      <c r="B13" s="674" t="s">
        <v>298</v>
      </c>
      <c r="C13" s="17" t="s">
        <v>280</v>
      </c>
      <c r="D13" s="69">
        <f t="shared" si="0"/>
        <v>40</v>
      </c>
      <c r="E13" s="670" t="s">
        <v>278</v>
      </c>
      <c r="F13" s="117" t="s">
        <v>295</v>
      </c>
      <c r="G13" s="731"/>
      <c r="H13" s="731"/>
      <c r="I13" s="731">
        <v>20</v>
      </c>
      <c r="J13" s="731">
        <v>20</v>
      </c>
      <c r="K13" s="389">
        <v>150000</v>
      </c>
      <c r="L13" s="201">
        <f>K13*D13</f>
        <v>6000000</v>
      </c>
      <c r="M13" s="202">
        <f t="shared" si="5"/>
        <v>0</v>
      </c>
      <c r="N13" s="203">
        <f t="shared" si="2"/>
        <v>0</v>
      </c>
      <c r="O13" s="204">
        <f t="shared" si="3"/>
        <v>3000000</v>
      </c>
      <c r="P13" s="205">
        <f t="shared" si="4"/>
        <v>3000000</v>
      </c>
      <c r="Q13" s="825" t="s">
        <v>4227</v>
      </c>
      <c r="R13" s="383"/>
      <c r="S13" s="383"/>
      <c r="T13" s="383"/>
      <c r="U13" s="383"/>
    </row>
    <row r="14" spans="1:21" ht="18.75">
      <c r="A14" s="670">
        <v>11</v>
      </c>
      <c r="B14" s="674" t="s">
        <v>299</v>
      </c>
      <c r="C14" s="16"/>
      <c r="D14" s="69">
        <f t="shared" si="0"/>
        <v>20</v>
      </c>
      <c r="E14" s="674" t="s">
        <v>286</v>
      </c>
      <c r="F14" s="117" t="s">
        <v>300</v>
      </c>
      <c r="G14" s="732">
        <v>4</v>
      </c>
      <c r="H14" s="732">
        <v>6</v>
      </c>
      <c r="I14" s="732">
        <v>6</v>
      </c>
      <c r="J14" s="732">
        <v>4</v>
      </c>
      <c r="K14" s="119">
        <v>970000</v>
      </c>
      <c r="L14" s="201">
        <f t="shared" si="1"/>
        <v>19400000</v>
      </c>
      <c r="M14" s="202">
        <f t="shared" si="5"/>
        <v>3880000</v>
      </c>
      <c r="N14" s="203">
        <f t="shared" si="2"/>
        <v>5820000</v>
      </c>
      <c r="O14" s="204">
        <f t="shared" si="3"/>
        <v>5820000</v>
      </c>
      <c r="P14" s="205">
        <f t="shared" si="4"/>
        <v>3880000</v>
      </c>
      <c r="Q14" s="825" t="s">
        <v>4227</v>
      </c>
      <c r="R14" s="383"/>
      <c r="S14" s="383"/>
      <c r="T14" s="383"/>
      <c r="U14" s="383"/>
    </row>
    <row r="15" spans="1:21" ht="25.5">
      <c r="A15" s="453">
        <v>12</v>
      </c>
      <c r="B15" s="736" t="s">
        <v>301</v>
      </c>
      <c r="C15" s="165"/>
      <c r="D15" s="69">
        <f t="shared" si="0"/>
        <v>350</v>
      </c>
      <c r="E15" s="736" t="s">
        <v>286</v>
      </c>
      <c r="F15" s="390" t="s">
        <v>302</v>
      </c>
      <c r="G15" s="740">
        <v>100</v>
      </c>
      <c r="H15" s="740"/>
      <c r="I15" s="740">
        <v>125</v>
      </c>
      <c r="J15" s="740">
        <v>125</v>
      </c>
      <c r="K15" s="389">
        <v>500000</v>
      </c>
      <c r="L15" s="69">
        <f t="shared" si="1"/>
        <v>175000000</v>
      </c>
      <c r="M15" s="69">
        <f t="shared" si="5"/>
        <v>50000000</v>
      </c>
      <c r="N15" s="69">
        <f t="shared" si="2"/>
        <v>0</v>
      </c>
      <c r="O15" s="69">
        <f t="shared" si="3"/>
        <v>62500000</v>
      </c>
      <c r="P15" s="69">
        <f t="shared" si="4"/>
        <v>62500000</v>
      </c>
      <c r="Q15" s="859" t="s">
        <v>4227</v>
      </c>
      <c r="R15" s="383"/>
      <c r="S15" s="383"/>
      <c r="T15" s="383"/>
      <c r="U15" s="383"/>
    </row>
    <row r="16" spans="1:21" ht="15.75">
      <c r="A16" s="670">
        <v>13</v>
      </c>
      <c r="B16" s="670" t="s">
        <v>303</v>
      </c>
      <c r="C16" s="16"/>
      <c r="D16" s="69">
        <f t="shared" si="0"/>
        <v>140</v>
      </c>
      <c r="E16" s="670" t="s">
        <v>278</v>
      </c>
      <c r="F16" s="117" t="s">
        <v>304</v>
      </c>
      <c r="G16" s="671">
        <v>28</v>
      </c>
      <c r="H16" s="671">
        <v>42</v>
      </c>
      <c r="I16" s="671">
        <v>42</v>
      </c>
      <c r="J16" s="671">
        <v>28</v>
      </c>
      <c r="K16" s="119">
        <v>350000</v>
      </c>
      <c r="L16" s="201">
        <f t="shared" si="1"/>
        <v>49000000</v>
      </c>
      <c r="M16" s="202">
        <f t="shared" si="5"/>
        <v>9800000</v>
      </c>
      <c r="N16" s="203">
        <f t="shared" si="2"/>
        <v>14700000</v>
      </c>
      <c r="O16" s="204">
        <f t="shared" si="3"/>
        <v>14700000</v>
      </c>
      <c r="P16" s="205">
        <f t="shared" si="4"/>
        <v>9800000</v>
      </c>
      <c r="Q16" s="825" t="s">
        <v>4227</v>
      </c>
      <c r="R16" s="383"/>
      <c r="S16" s="383"/>
      <c r="T16" s="383"/>
      <c r="U16" s="383"/>
    </row>
    <row r="17" spans="1:21" ht="18.75">
      <c r="A17" s="453">
        <v>14</v>
      </c>
      <c r="B17" s="453" t="s">
        <v>305</v>
      </c>
      <c r="C17" s="165"/>
      <c r="D17" s="69">
        <f t="shared" si="0"/>
        <v>66</v>
      </c>
      <c r="E17" s="453" t="s">
        <v>278</v>
      </c>
      <c r="F17" s="741" t="s">
        <v>306</v>
      </c>
      <c r="G17" s="740">
        <v>13</v>
      </c>
      <c r="H17" s="740">
        <v>20</v>
      </c>
      <c r="I17" s="740">
        <v>20</v>
      </c>
      <c r="J17" s="740">
        <v>13</v>
      </c>
      <c r="K17" s="389">
        <v>120000</v>
      </c>
      <c r="L17" s="69">
        <f t="shared" si="1"/>
        <v>7920000</v>
      </c>
      <c r="M17" s="69">
        <f t="shared" si="5"/>
        <v>1560000</v>
      </c>
      <c r="N17" s="69">
        <f t="shared" si="2"/>
        <v>2400000</v>
      </c>
      <c r="O17" s="69">
        <f t="shared" si="3"/>
        <v>2400000</v>
      </c>
      <c r="P17" s="69">
        <f t="shared" si="4"/>
        <v>1560000</v>
      </c>
      <c r="Q17" s="859" t="s">
        <v>4227</v>
      </c>
      <c r="R17" s="383"/>
      <c r="S17" s="383"/>
      <c r="T17" s="383"/>
      <c r="U17" s="383"/>
    </row>
    <row r="18" spans="1:21" ht="15.75">
      <c r="A18" s="670">
        <v>15</v>
      </c>
      <c r="B18" s="670" t="s">
        <v>307</v>
      </c>
      <c r="C18" s="16"/>
      <c r="D18" s="69">
        <f t="shared" si="0"/>
        <v>0</v>
      </c>
      <c r="E18" s="674" t="s">
        <v>286</v>
      </c>
      <c r="F18" s="117" t="s">
        <v>308</v>
      </c>
      <c r="G18" s="671"/>
      <c r="H18" s="671"/>
      <c r="I18" s="671"/>
      <c r="J18" s="671"/>
      <c r="K18" s="119">
        <v>50000</v>
      </c>
      <c r="L18" s="201">
        <f t="shared" si="1"/>
        <v>0</v>
      </c>
      <c r="M18" s="202">
        <f t="shared" si="5"/>
        <v>0</v>
      </c>
      <c r="N18" s="203">
        <f t="shared" si="2"/>
        <v>0</v>
      </c>
      <c r="O18" s="204">
        <f t="shared" si="3"/>
        <v>0</v>
      </c>
      <c r="P18" s="205">
        <f t="shared" si="4"/>
        <v>0</v>
      </c>
      <c r="Q18" s="825" t="s">
        <v>4227</v>
      </c>
      <c r="R18" s="383"/>
      <c r="S18" s="383"/>
      <c r="T18" s="383"/>
      <c r="U18" s="383"/>
    </row>
    <row r="19" spans="1:21" ht="15.75">
      <c r="A19" s="670">
        <v>16</v>
      </c>
      <c r="B19" s="670" t="s">
        <v>309</v>
      </c>
      <c r="C19" s="16"/>
      <c r="D19" s="69">
        <f t="shared" si="0"/>
        <v>100</v>
      </c>
      <c r="E19" s="674" t="s">
        <v>286</v>
      </c>
      <c r="F19" s="117" t="s">
        <v>310</v>
      </c>
      <c r="G19" s="671">
        <v>20</v>
      </c>
      <c r="H19" s="671">
        <v>30</v>
      </c>
      <c r="I19" s="671">
        <v>30</v>
      </c>
      <c r="J19" s="671">
        <v>20</v>
      </c>
      <c r="K19" s="119">
        <v>86240</v>
      </c>
      <c r="L19" s="201">
        <f t="shared" si="1"/>
        <v>8624000</v>
      </c>
      <c r="M19" s="202">
        <f t="shared" si="5"/>
        <v>1724800</v>
      </c>
      <c r="N19" s="203">
        <f t="shared" si="2"/>
        <v>2587200</v>
      </c>
      <c r="O19" s="204">
        <f t="shared" si="3"/>
        <v>2587200</v>
      </c>
      <c r="P19" s="205">
        <f t="shared" si="4"/>
        <v>1724800</v>
      </c>
      <c r="Q19" s="825" t="s">
        <v>4227</v>
      </c>
      <c r="R19" s="383"/>
      <c r="S19" s="383"/>
      <c r="T19" s="383"/>
      <c r="U19" s="383"/>
    </row>
    <row r="20" spans="1:21" ht="18.75">
      <c r="A20" s="670">
        <v>17</v>
      </c>
      <c r="B20" s="674" t="s">
        <v>311</v>
      </c>
      <c r="C20" s="16"/>
      <c r="D20" s="69">
        <f t="shared" si="0"/>
        <v>866</v>
      </c>
      <c r="E20" s="674" t="s">
        <v>286</v>
      </c>
      <c r="F20" s="117" t="s">
        <v>312</v>
      </c>
      <c r="G20" s="732">
        <v>173</v>
      </c>
      <c r="H20" s="732">
        <v>260</v>
      </c>
      <c r="I20" s="732">
        <v>260</v>
      </c>
      <c r="J20" s="732">
        <v>173</v>
      </c>
      <c r="K20" s="389">
        <v>55000</v>
      </c>
      <c r="L20" s="201">
        <f t="shared" si="1"/>
        <v>47630000</v>
      </c>
      <c r="M20" s="202">
        <f t="shared" si="5"/>
        <v>9515000</v>
      </c>
      <c r="N20" s="203">
        <f t="shared" si="2"/>
        <v>14300000</v>
      </c>
      <c r="O20" s="204">
        <f t="shared" si="3"/>
        <v>14300000</v>
      </c>
      <c r="P20" s="205">
        <f t="shared" si="4"/>
        <v>9515000</v>
      </c>
      <c r="Q20" s="825" t="s">
        <v>4227</v>
      </c>
      <c r="R20" s="383"/>
      <c r="S20" s="383"/>
      <c r="T20" s="383"/>
      <c r="U20" s="383"/>
    </row>
    <row r="21" spans="1:21" ht="18.75">
      <c r="A21" s="670">
        <v>18</v>
      </c>
      <c r="B21" s="670" t="s">
        <v>313</v>
      </c>
      <c r="C21" s="16"/>
      <c r="D21" s="69">
        <f t="shared" si="0"/>
        <v>300</v>
      </c>
      <c r="E21" s="670" t="s">
        <v>314</v>
      </c>
      <c r="F21" s="117" t="s">
        <v>315</v>
      </c>
      <c r="G21" s="732"/>
      <c r="H21" s="733">
        <v>100</v>
      </c>
      <c r="I21" s="732">
        <v>100</v>
      </c>
      <c r="J21" s="732">
        <v>100</v>
      </c>
      <c r="K21" s="119">
        <v>215000</v>
      </c>
      <c r="L21" s="201">
        <f t="shared" si="1"/>
        <v>64500000</v>
      </c>
      <c r="M21" s="202">
        <f t="shared" si="5"/>
        <v>0</v>
      </c>
      <c r="N21" s="203">
        <f t="shared" si="2"/>
        <v>21500000</v>
      </c>
      <c r="O21" s="204">
        <f t="shared" si="3"/>
        <v>21500000</v>
      </c>
      <c r="P21" s="205">
        <f t="shared" si="4"/>
        <v>21500000</v>
      </c>
      <c r="Q21" s="825" t="s">
        <v>4227</v>
      </c>
      <c r="R21" s="383"/>
      <c r="S21" s="383"/>
      <c r="T21" s="383"/>
      <c r="U21" s="383"/>
    </row>
    <row r="22" spans="1:21" ht="15.75">
      <c r="A22" s="670">
        <v>19</v>
      </c>
      <c r="B22" s="670" t="s">
        <v>316</v>
      </c>
      <c r="C22" s="16"/>
      <c r="D22" s="69">
        <f t="shared" si="0"/>
        <v>0</v>
      </c>
      <c r="E22" s="670" t="s">
        <v>317</v>
      </c>
      <c r="F22" s="117" t="s">
        <v>318</v>
      </c>
      <c r="G22" s="86"/>
      <c r="H22" s="671"/>
      <c r="I22" s="671"/>
      <c r="J22" s="671"/>
      <c r="K22" s="119">
        <v>220000</v>
      </c>
      <c r="L22" s="201">
        <f t="shared" si="1"/>
        <v>0</v>
      </c>
      <c r="M22" s="202">
        <f t="shared" si="5"/>
        <v>0</v>
      </c>
      <c r="N22" s="203">
        <f t="shared" si="2"/>
        <v>0</v>
      </c>
      <c r="O22" s="204">
        <f t="shared" si="3"/>
        <v>0</v>
      </c>
      <c r="P22" s="205">
        <f t="shared" si="4"/>
        <v>0</v>
      </c>
      <c r="Q22" s="825" t="s">
        <v>4227</v>
      </c>
      <c r="R22" s="383"/>
      <c r="S22" s="383"/>
      <c r="T22" s="383"/>
      <c r="U22" s="383"/>
    </row>
    <row r="23" spans="1:21" ht="18.75">
      <c r="A23" s="670">
        <v>20</v>
      </c>
      <c r="B23" s="670" t="s">
        <v>319</v>
      </c>
      <c r="C23" s="16"/>
      <c r="D23" s="69">
        <f t="shared" si="0"/>
        <v>332</v>
      </c>
      <c r="E23" s="670" t="s">
        <v>314</v>
      </c>
      <c r="F23" s="117" t="s">
        <v>320</v>
      </c>
      <c r="G23" s="732">
        <v>66</v>
      </c>
      <c r="H23" s="733">
        <v>100</v>
      </c>
      <c r="I23" s="732">
        <v>100</v>
      </c>
      <c r="J23" s="732">
        <v>66</v>
      </c>
      <c r="K23" s="119">
        <v>250000</v>
      </c>
      <c r="L23" s="201">
        <f t="shared" si="1"/>
        <v>83000000</v>
      </c>
      <c r="M23" s="202">
        <f t="shared" si="5"/>
        <v>16500000</v>
      </c>
      <c r="N23" s="203">
        <f t="shared" si="2"/>
        <v>25000000</v>
      </c>
      <c r="O23" s="204">
        <f t="shared" si="3"/>
        <v>25000000</v>
      </c>
      <c r="P23" s="205">
        <f t="shared" si="4"/>
        <v>16500000</v>
      </c>
      <c r="Q23" s="825" t="s">
        <v>4227</v>
      </c>
      <c r="R23" s="383"/>
      <c r="S23" s="383"/>
      <c r="T23" s="383"/>
      <c r="U23" s="383"/>
    </row>
    <row r="24" spans="1:21" ht="18.75">
      <c r="A24" s="670">
        <v>21</v>
      </c>
      <c r="B24" s="674" t="s">
        <v>321</v>
      </c>
      <c r="C24" s="16"/>
      <c r="D24" s="69">
        <f t="shared" si="0"/>
        <v>350</v>
      </c>
      <c r="E24" s="670" t="s">
        <v>314</v>
      </c>
      <c r="F24" s="117" t="s">
        <v>322</v>
      </c>
      <c r="G24" s="731"/>
      <c r="H24" s="734">
        <v>150</v>
      </c>
      <c r="I24" s="731">
        <v>150</v>
      </c>
      <c r="J24" s="731">
        <v>50</v>
      </c>
      <c r="K24" s="119">
        <v>220000</v>
      </c>
      <c r="L24" s="201">
        <f t="shared" si="1"/>
        <v>77000000</v>
      </c>
      <c r="M24" s="202">
        <f t="shared" si="5"/>
        <v>0</v>
      </c>
      <c r="N24" s="203">
        <f t="shared" si="2"/>
        <v>33000000</v>
      </c>
      <c r="O24" s="204">
        <f t="shared" si="3"/>
        <v>33000000</v>
      </c>
      <c r="P24" s="205">
        <f t="shared" si="4"/>
        <v>11000000</v>
      </c>
      <c r="Q24" s="825" t="s">
        <v>4227</v>
      </c>
      <c r="R24" s="383"/>
      <c r="S24" s="383"/>
      <c r="T24" s="383"/>
      <c r="U24" s="383"/>
    </row>
    <row r="25" spans="1:21" ht="15.75">
      <c r="A25" s="453">
        <v>22</v>
      </c>
      <c r="B25" s="453" t="s">
        <v>323</v>
      </c>
      <c r="C25" s="165"/>
      <c r="D25" s="69">
        <f t="shared" si="0"/>
        <v>140</v>
      </c>
      <c r="E25" s="453" t="s">
        <v>286</v>
      </c>
      <c r="F25" s="390" t="s">
        <v>324</v>
      </c>
      <c r="G25" s="69">
        <v>28</v>
      </c>
      <c r="H25" s="84">
        <v>42</v>
      </c>
      <c r="I25" s="69">
        <v>42</v>
      </c>
      <c r="J25" s="69">
        <v>28</v>
      </c>
      <c r="K25" s="389">
        <v>150000</v>
      </c>
      <c r="L25" s="69">
        <f t="shared" si="1"/>
        <v>21000000</v>
      </c>
      <c r="M25" s="69">
        <f t="shared" si="5"/>
        <v>4200000</v>
      </c>
      <c r="N25" s="69">
        <f t="shared" si="2"/>
        <v>6300000</v>
      </c>
      <c r="O25" s="69">
        <f t="shared" si="3"/>
        <v>6300000</v>
      </c>
      <c r="P25" s="69">
        <f t="shared" si="4"/>
        <v>4200000</v>
      </c>
      <c r="Q25" s="859" t="s">
        <v>4227</v>
      </c>
      <c r="R25" s="383"/>
      <c r="S25" s="383"/>
      <c r="T25" s="383"/>
      <c r="U25" s="383"/>
    </row>
    <row r="26" spans="1:21" ht="15.75">
      <c r="A26" s="670">
        <v>23</v>
      </c>
      <c r="B26" s="670" t="s">
        <v>325</v>
      </c>
      <c r="C26" s="16"/>
      <c r="D26" s="69">
        <f t="shared" si="0"/>
        <v>140</v>
      </c>
      <c r="E26" s="670" t="s">
        <v>317</v>
      </c>
      <c r="F26" s="117" t="s">
        <v>324</v>
      </c>
      <c r="G26" s="671">
        <v>28</v>
      </c>
      <c r="H26" s="86">
        <v>42</v>
      </c>
      <c r="I26" s="671">
        <v>42</v>
      </c>
      <c r="J26" s="671">
        <v>28</v>
      </c>
      <c r="K26" s="119">
        <v>215000</v>
      </c>
      <c r="L26" s="201">
        <f t="shared" si="1"/>
        <v>30100000</v>
      </c>
      <c r="M26" s="202">
        <f t="shared" si="5"/>
        <v>6020000</v>
      </c>
      <c r="N26" s="203">
        <f t="shared" si="2"/>
        <v>9030000</v>
      </c>
      <c r="O26" s="204">
        <f t="shared" si="3"/>
        <v>9030000</v>
      </c>
      <c r="P26" s="205">
        <f t="shared" si="4"/>
        <v>6020000</v>
      </c>
      <c r="Q26" s="825" t="s">
        <v>4227</v>
      </c>
      <c r="R26" s="383"/>
      <c r="S26" s="383"/>
      <c r="T26" s="383"/>
      <c r="U26" s="383"/>
    </row>
    <row r="27" spans="1:21" ht="18.75">
      <c r="A27" s="670">
        <v>24</v>
      </c>
      <c r="B27" s="670" t="s">
        <v>326</v>
      </c>
      <c r="C27" s="16"/>
      <c r="D27" s="69">
        <f t="shared" si="0"/>
        <v>400</v>
      </c>
      <c r="E27" s="674" t="s">
        <v>286</v>
      </c>
      <c r="F27" s="117" t="s">
        <v>327</v>
      </c>
      <c r="G27" s="731"/>
      <c r="H27" s="734">
        <v>150</v>
      </c>
      <c r="I27" s="731">
        <v>150</v>
      </c>
      <c r="J27" s="731">
        <v>100</v>
      </c>
      <c r="K27" s="119">
        <v>25000</v>
      </c>
      <c r="L27" s="201">
        <f t="shared" si="1"/>
        <v>10000000</v>
      </c>
      <c r="M27" s="202">
        <f t="shared" si="5"/>
        <v>0</v>
      </c>
      <c r="N27" s="203">
        <f t="shared" si="2"/>
        <v>3750000</v>
      </c>
      <c r="O27" s="204">
        <f t="shared" si="3"/>
        <v>3750000</v>
      </c>
      <c r="P27" s="205">
        <f t="shared" si="4"/>
        <v>2500000</v>
      </c>
      <c r="Q27" s="825" t="s">
        <v>4227</v>
      </c>
      <c r="R27" s="383"/>
      <c r="S27" s="383"/>
      <c r="T27" s="383"/>
      <c r="U27" s="383"/>
    </row>
    <row r="28" spans="1:21" ht="15.75">
      <c r="A28" s="670">
        <v>25</v>
      </c>
      <c r="B28" s="670" t="s">
        <v>328</v>
      </c>
      <c r="C28" s="16"/>
      <c r="D28" s="69">
        <f t="shared" si="0"/>
        <v>206</v>
      </c>
      <c r="E28" s="674" t="s">
        <v>286</v>
      </c>
      <c r="F28" s="117" t="s">
        <v>329</v>
      </c>
      <c r="G28" s="671">
        <v>41</v>
      </c>
      <c r="H28" s="671">
        <v>62</v>
      </c>
      <c r="I28" s="671">
        <v>62</v>
      </c>
      <c r="J28" s="671">
        <v>41</v>
      </c>
      <c r="K28" s="119">
        <v>62000</v>
      </c>
      <c r="L28" s="201">
        <f t="shared" si="1"/>
        <v>12772000</v>
      </c>
      <c r="M28" s="202">
        <f t="shared" si="5"/>
        <v>2542000</v>
      </c>
      <c r="N28" s="203">
        <f t="shared" si="2"/>
        <v>3844000</v>
      </c>
      <c r="O28" s="204">
        <f t="shared" si="3"/>
        <v>3844000</v>
      </c>
      <c r="P28" s="205">
        <f t="shared" si="4"/>
        <v>2542000</v>
      </c>
      <c r="Q28" s="825" t="s">
        <v>4227</v>
      </c>
      <c r="R28" s="383"/>
      <c r="S28" s="383"/>
      <c r="T28" s="383"/>
      <c r="U28" s="383"/>
    </row>
    <row r="29" spans="1:21" ht="25.5">
      <c r="A29" s="453">
        <v>26</v>
      </c>
      <c r="B29" s="453" t="s">
        <v>330</v>
      </c>
      <c r="C29" s="165"/>
      <c r="D29" s="69">
        <f t="shared" si="0"/>
        <v>1000</v>
      </c>
      <c r="E29" s="736" t="s">
        <v>286</v>
      </c>
      <c r="F29" s="390" t="s">
        <v>331</v>
      </c>
      <c r="G29" s="740">
        <v>0</v>
      </c>
      <c r="H29" s="740"/>
      <c r="I29" s="740">
        <v>500</v>
      </c>
      <c r="J29" s="740">
        <v>500</v>
      </c>
      <c r="K29" s="389">
        <v>55440</v>
      </c>
      <c r="L29" s="69">
        <f t="shared" si="1"/>
        <v>55440000</v>
      </c>
      <c r="M29" s="69">
        <f t="shared" si="5"/>
        <v>0</v>
      </c>
      <c r="N29" s="69">
        <f t="shared" si="2"/>
        <v>0</v>
      </c>
      <c r="O29" s="69">
        <f t="shared" si="3"/>
        <v>27720000</v>
      </c>
      <c r="P29" s="69">
        <f t="shared" si="4"/>
        <v>27720000</v>
      </c>
      <c r="Q29" s="859" t="s">
        <v>4227</v>
      </c>
      <c r="R29" s="383"/>
      <c r="S29" s="383"/>
      <c r="T29" s="383"/>
      <c r="U29" s="383"/>
    </row>
    <row r="30" spans="1:21" ht="18.75">
      <c r="A30" s="670">
        <v>27</v>
      </c>
      <c r="B30" s="674" t="s">
        <v>332</v>
      </c>
      <c r="C30" s="16"/>
      <c r="D30" s="69">
        <f t="shared" si="0"/>
        <v>60</v>
      </c>
      <c r="E30" s="674" t="s">
        <v>286</v>
      </c>
      <c r="F30" s="117" t="s">
        <v>333</v>
      </c>
      <c r="G30" s="731"/>
      <c r="H30" s="731">
        <v>20</v>
      </c>
      <c r="I30" s="731">
        <v>20</v>
      </c>
      <c r="J30" s="731">
        <v>20</v>
      </c>
      <c r="K30" s="119">
        <v>40000</v>
      </c>
      <c r="L30" s="201">
        <f t="shared" si="1"/>
        <v>2400000</v>
      </c>
      <c r="M30" s="202">
        <f t="shared" si="5"/>
        <v>0</v>
      </c>
      <c r="N30" s="203">
        <f t="shared" si="2"/>
        <v>800000</v>
      </c>
      <c r="O30" s="204">
        <f t="shared" si="3"/>
        <v>800000</v>
      </c>
      <c r="P30" s="205">
        <f t="shared" si="4"/>
        <v>800000</v>
      </c>
      <c r="Q30" s="825" t="s">
        <v>4227</v>
      </c>
      <c r="R30" s="383"/>
      <c r="S30" s="383"/>
      <c r="T30" s="383"/>
      <c r="U30" s="383"/>
    </row>
    <row r="31" spans="1:21" ht="18.75">
      <c r="A31" s="670">
        <v>28</v>
      </c>
      <c r="B31" s="670" t="s">
        <v>334</v>
      </c>
      <c r="C31" s="16"/>
      <c r="D31" s="69">
        <f t="shared" si="0"/>
        <v>100</v>
      </c>
      <c r="E31" s="674" t="s">
        <v>286</v>
      </c>
      <c r="F31" s="117" t="s">
        <v>333</v>
      </c>
      <c r="G31" s="731"/>
      <c r="H31" s="731">
        <v>40</v>
      </c>
      <c r="I31" s="731">
        <v>30</v>
      </c>
      <c r="J31" s="731">
        <v>30</v>
      </c>
      <c r="K31" s="119">
        <v>34000</v>
      </c>
      <c r="L31" s="201">
        <f t="shared" si="1"/>
        <v>3400000</v>
      </c>
      <c r="M31" s="202">
        <f t="shared" si="5"/>
        <v>0</v>
      </c>
      <c r="N31" s="203">
        <f t="shared" si="2"/>
        <v>1360000</v>
      </c>
      <c r="O31" s="204">
        <f t="shared" si="3"/>
        <v>1020000</v>
      </c>
      <c r="P31" s="205">
        <f t="shared" si="4"/>
        <v>1020000</v>
      </c>
      <c r="Q31" s="825" t="s">
        <v>4227</v>
      </c>
      <c r="R31" s="383"/>
      <c r="S31" s="383"/>
      <c r="T31" s="383"/>
      <c r="U31" s="383"/>
    </row>
    <row r="32" spans="1:21" ht="15.75">
      <c r="A32" s="670">
        <v>29</v>
      </c>
      <c r="B32" s="670" t="s">
        <v>335</v>
      </c>
      <c r="C32" s="16"/>
      <c r="D32" s="69">
        <f t="shared" si="0"/>
        <v>30</v>
      </c>
      <c r="E32" s="670" t="s">
        <v>286</v>
      </c>
      <c r="F32" s="117" t="s">
        <v>336</v>
      </c>
      <c r="G32" s="671">
        <v>6</v>
      </c>
      <c r="H32" s="671">
        <v>9</v>
      </c>
      <c r="I32" s="671">
        <v>9</v>
      </c>
      <c r="J32" s="671">
        <v>6</v>
      </c>
      <c r="K32" s="119">
        <v>420000</v>
      </c>
      <c r="L32" s="201">
        <f t="shared" si="1"/>
        <v>12600000</v>
      </c>
      <c r="M32" s="202">
        <f t="shared" si="5"/>
        <v>2520000</v>
      </c>
      <c r="N32" s="203">
        <f t="shared" si="2"/>
        <v>3780000</v>
      </c>
      <c r="O32" s="204">
        <f t="shared" si="3"/>
        <v>3780000</v>
      </c>
      <c r="P32" s="205">
        <f t="shared" si="4"/>
        <v>2520000</v>
      </c>
      <c r="Q32" s="834" t="s">
        <v>4236</v>
      </c>
      <c r="R32" s="383"/>
      <c r="S32" s="383"/>
      <c r="T32" s="383"/>
      <c r="U32" s="383"/>
    </row>
    <row r="33" spans="1:21" ht="18.75">
      <c r="A33" s="670">
        <v>30</v>
      </c>
      <c r="B33" s="674" t="s">
        <v>337</v>
      </c>
      <c r="C33" s="16"/>
      <c r="D33" s="69">
        <f t="shared" si="0"/>
        <v>30</v>
      </c>
      <c r="E33" s="674" t="s">
        <v>286</v>
      </c>
      <c r="F33" s="117" t="s">
        <v>338</v>
      </c>
      <c r="G33" s="731"/>
      <c r="H33" s="731">
        <v>10</v>
      </c>
      <c r="I33" s="731">
        <v>10</v>
      </c>
      <c r="J33" s="731">
        <v>10</v>
      </c>
      <c r="K33" s="119">
        <v>45194.6</v>
      </c>
      <c r="L33" s="201">
        <f t="shared" si="1"/>
        <v>1355838</v>
      </c>
      <c r="M33" s="202">
        <f t="shared" si="5"/>
        <v>0</v>
      </c>
      <c r="N33" s="203">
        <f t="shared" si="2"/>
        <v>451946</v>
      </c>
      <c r="O33" s="204">
        <f t="shared" si="3"/>
        <v>451946</v>
      </c>
      <c r="P33" s="205">
        <f t="shared" si="4"/>
        <v>451946</v>
      </c>
      <c r="Q33" s="834" t="s">
        <v>4236</v>
      </c>
      <c r="R33" s="383"/>
      <c r="S33" s="383"/>
      <c r="T33" s="383"/>
      <c r="U33" s="383"/>
    </row>
    <row r="34" spans="1:21" ht="18.75">
      <c r="A34" s="670">
        <v>31</v>
      </c>
      <c r="B34" s="674" t="s">
        <v>339</v>
      </c>
      <c r="C34" s="16"/>
      <c r="D34" s="69">
        <f t="shared" si="0"/>
        <v>1400</v>
      </c>
      <c r="E34" s="670" t="s">
        <v>278</v>
      </c>
      <c r="F34" s="118" t="s">
        <v>340</v>
      </c>
      <c r="G34" s="732">
        <v>280</v>
      </c>
      <c r="H34" s="733">
        <v>420</v>
      </c>
      <c r="I34" s="732">
        <v>420</v>
      </c>
      <c r="J34" s="732">
        <v>280</v>
      </c>
      <c r="K34" s="119">
        <v>141680</v>
      </c>
      <c r="L34" s="201">
        <f t="shared" si="1"/>
        <v>198352000</v>
      </c>
      <c r="M34" s="202">
        <f t="shared" si="5"/>
        <v>39670400</v>
      </c>
      <c r="N34" s="203">
        <f t="shared" si="2"/>
        <v>59505600</v>
      </c>
      <c r="O34" s="204">
        <f t="shared" si="3"/>
        <v>59505600</v>
      </c>
      <c r="P34" s="205">
        <f t="shared" si="4"/>
        <v>39670400</v>
      </c>
      <c r="Q34" s="825" t="s">
        <v>4227</v>
      </c>
      <c r="R34" s="383"/>
      <c r="S34" s="383"/>
      <c r="T34" s="383"/>
      <c r="U34" s="383"/>
    </row>
    <row r="35" spans="1:21" ht="18.75">
      <c r="A35" s="670">
        <v>32</v>
      </c>
      <c r="B35" s="674" t="s">
        <v>341</v>
      </c>
      <c r="C35" s="16"/>
      <c r="D35" s="69">
        <f t="shared" si="0"/>
        <v>156</v>
      </c>
      <c r="E35" s="674" t="s">
        <v>286</v>
      </c>
      <c r="F35" s="117" t="s">
        <v>340</v>
      </c>
      <c r="G35" s="732">
        <v>31</v>
      </c>
      <c r="H35" s="732">
        <v>47</v>
      </c>
      <c r="I35" s="732">
        <v>47</v>
      </c>
      <c r="J35" s="732">
        <v>31</v>
      </c>
      <c r="K35" s="119">
        <v>80000</v>
      </c>
      <c r="L35" s="201">
        <f t="shared" si="1"/>
        <v>12480000</v>
      </c>
      <c r="M35" s="202">
        <f t="shared" si="5"/>
        <v>2480000</v>
      </c>
      <c r="N35" s="203">
        <f t="shared" si="2"/>
        <v>3760000</v>
      </c>
      <c r="O35" s="204">
        <f t="shared" si="3"/>
        <v>3760000</v>
      </c>
      <c r="P35" s="205">
        <f t="shared" si="4"/>
        <v>2480000</v>
      </c>
      <c r="Q35" s="825" t="s">
        <v>4227</v>
      </c>
      <c r="R35" s="383"/>
      <c r="S35" s="383"/>
      <c r="T35" s="383"/>
      <c r="U35" s="383"/>
    </row>
    <row r="36" spans="1:21" ht="18.75">
      <c r="A36" s="670">
        <v>33</v>
      </c>
      <c r="B36" s="674" t="s">
        <v>342</v>
      </c>
      <c r="C36" s="16"/>
      <c r="D36" s="69">
        <f t="shared" si="0"/>
        <v>254</v>
      </c>
      <c r="E36" s="674" t="s">
        <v>286</v>
      </c>
      <c r="F36" s="117" t="s">
        <v>340</v>
      </c>
      <c r="G36" s="732">
        <v>51</v>
      </c>
      <c r="H36" s="732">
        <v>76</v>
      </c>
      <c r="I36" s="732">
        <v>76</v>
      </c>
      <c r="J36" s="732">
        <v>51</v>
      </c>
      <c r="K36" s="119">
        <v>190000</v>
      </c>
      <c r="L36" s="201">
        <f t="shared" si="1"/>
        <v>48260000</v>
      </c>
      <c r="M36" s="202">
        <f t="shared" si="5"/>
        <v>9690000</v>
      </c>
      <c r="N36" s="203">
        <f t="shared" si="2"/>
        <v>14440000</v>
      </c>
      <c r="O36" s="204">
        <f t="shared" si="3"/>
        <v>14440000</v>
      </c>
      <c r="P36" s="205">
        <f t="shared" si="4"/>
        <v>9690000</v>
      </c>
      <c r="Q36" s="825" t="s">
        <v>4227</v>
      </c>
      <c r="R36" s="383"/>
      <c r="S36" s="383"/>
      <c r="T36" s="383"/>
      <c r="U36" s="383"/>
    </row>
    <row r="37" spans="1:21" ht="15.75">
      <c r="A37" s="670">
        <v>34</v>
      </c>
      <c r="B37" s="674" t="s">
        <v>343</v>
      </c>
      <c r="C37" s="16"/>
      <c r="D37" s="69">
        <f t="shared" si="0"/>
        <v>180</v>
      </c>
      <c r="E37" s="674" t="s">
        <v>286</v>
      </c>
      <c r="F37" s="117" t="s">
        <v>340</v>
      </c>
      <c r="G37" s="671">
        <v>36</v>
      </c>
      <c r="H37" s="671">
        <v>54</v>
      </c>
      <c r="I37" s="671">
        <v>54</v>
      </c>
      <c r="J37" s="671">
        <v>36</v>
      </c>
      <c r="K37" s="119">
        <v>190000</v>
      </c>
      <c r="L37" s="201">
        <f t="shared" si="1"/>
        <v>34200000</v>
      </c>
      <c r="M37" s="202">
        <f t="shared" si="5"/>
        <v>6840000</v>
      </c>
      <c r="N37" s="203">
        <f t="shared" si="2"/>
        <v>10260000</v>
      </c>
      <c r="O37" s="204">
        <f t="shared" si="3"/>
        <v>10260000</v>
      </c>
      <c r="P37" s="205">
        <f t="shared" si="4"/>
        <v>6840000</v>
      </c>
      <c r="Q37" s="825" t="s">
        <v>4227</v>
      </c>
      <c r="R37" s="383"/>
      <c r="S37" s="383"/>
      <c r="T37" s="383"/>
      <c r="U37" s="383"/>
    </row>
    <row r="38" spans="1:21" ht="18.75">
      <c r="A38" s="670">
        <v>35</v>
      </c>
      <c r="B38" s="670" t="s">
        <v>344</v>
      </c>
      <c r="C38" s="16"/>
      <c r="D38" s="69">
        <f t="shared" si="0"/>
        <v>600</v>
      </c>
      <c r="E38" s="674" t="s">
        <v>286</v>
      </c>
      <c r="F38" s="117" t="s">
        <v>340</v>
      </c>
      <c r="G38" s="732">
        <v>120</v>
      </c>
      <c r="H38" s="732">
        <v>180</v>
      </c>
      <c r="I38" s="732">
        <v>180</v>
      </c>
      <c r="J38" s="732">
        <v>120</v>
      </c>
      <c r="K38" s="119">
        <v>110000</v>
      </c>
      <c r="L38" s="201">
        <f t="shared" si="1"/>
        <v>66000000</v>
      </c>
      <c r="M38" s="202">
        <f t="shared" si="5"/>
        <v>13200000</v>
      </c>
      <c r="N38" s="203">
        <f t="shared" si="2"/>
        <v>19800000</v>
      </c>
      <c r="O38" s="204">
        <f t="shared" si="3"/>
        <v>19800000</v>
      </c>
      <c r="P38" s="205">
        <f t="shared" si="4"/>
        <v>13200000</v>
      </c>
      <c r="Q38" s="825" t="s">
        <v>4227</v>
      </c>
      <c r="R38" s="383"/>
      <c r="S38" s="383"/>
      <c r="T38" s="383"/>
      <c r="U38" s="383"/>
    </row>
    <row r="39" spans="1:21" ht="25.5">
      <c r="A39" s="670">
        <v>36</v>
      </c>
      <c r="B39" s="670" t="s">
        <v>345</v>
      </c>
      <c r="C39" s="16"/>
      <c r="D39" s="69">
        <f t="shared" si="0"/>
        <v>18000</v>
      </c>
      <c r="E39" s="670" t="s">
        <v>346</v>
      </c>
      <c r="F39" s="117" t="s">
        <v>347</v>
      </c>
      <c r="G39" s="734"/>
      <c r="H39" s="734">
        <v>6000</v>
      </c>
      <c r="I39" s="734">
        <v>6000</v>
      </c>
      <c r="J39" s="734">
        <v>6000</v>
      </c>
      <c r="K39" s="119">
        <v>7000</v>
      </c>
      <c r="L39" s="201">
        <f t="shared" si="1"/>
        <v>126000000</v>
      </c>
      <c r="M39" s="202">
        <f t="shared" si="5"/>
        <v>0</v>
      </c>
      <c r="N39" s="203">
        <f t="shared" si="2"/>
        <v>42000000</v>
      </c>
      <c r="O39" s="204">
        <f t="shared" si="3"/>
        <v>42000000</v>
      </c>
      <c r="P39" s="205">
        <f t="shared" si="4"/>
        <v>42000000</v>
      </c>
      <c r="Q39" s="825" t="s">
        <v>4227</v>
      </c>
      <c r="R39" s="383"/>
      <c r="S39" s="383"/>
      <c r="T39" s="383"/>
      <c r="U39" s="383"/>
    </row>
    <row r="40" spans="1:21" ht="18.75">
      <c r="A40" s="670">
        <v>37</v>
      </c>
      <c r="B40" s="674" t="s">
        <v>348</v>
      </c>
      <c r="C40" s="16"/>
      <c r="D40" s="69">
        <f t="shared" si="0"/>
        <v>36</v>
      </c>
      <c r="E40" s="674" t="s">
        <v>314</v>
      </c>
      <c r="F40" s="117" t="s">
        <v>349</v>
      </c>
      <c r="G40" s="732">
        <v>6</v>
      </c>
      <c r="H40" s="732">
        <v>12</v>
      </c>
      <c r="I40" s="732">
        <v>12</v>
      </c>
      <c r="J40" s="732">
        <v>6</v>
      </c>
      <c r="K40" s="119">
        <v>14000</v>
      </c>
      <c r="L40" s="201">
        <f t="shared" si="1"/>
        <v>504000</v>
      </c>
      <c r="M40" s="202">
        <f t="shared" si="5"/>
        <v>84000</v>
      </c>
      <c r="N40" s="203">
        <f t="shared" si="2"/>
        <v>168000</v>
      </c>
      <c r="O40" s="204">
        <f t="shared" si="3"/>
        <v>168000</v>
      </c>
      <c r="P40" s="205">
        <f t="shared" si="4"/>
        <v>84000</v>
      </c>
      <c r="Q40" s="825" t="s">
        <v>4227</v>
      </c>
      <c r="R40" s="383"/>
      <c r="S40" s="383"/>
      <c r="T40" s="383"/>
      <c r="U40" s="383"/>
    </row>
    <row r="41" spans="1:21" ht="15.75">
      <c r="A41" s="670">
        <v>38</v>
      </c>
      <c r="B41" s="674" t="s">
        <v>350</v>
      </c>
      <c r="C41" s="16"/>
      <c r="D41" s="69">
        <f t="shared" si="0"/>
        <v>20</v>
      </c>
      <c r="E41" s="674" t="s">
        <v>314</v>
      </c>
      <c r="F41" s="117" t="s">
        <v>351</v>
      </c>
      <c r="G41" s="671">
        <v>4</v>
      </c>
      <c r="H41" s="671">
        <v>6</v>
      </c>
      <c r="I41" s="671">
        <v>6</v>
      </c>
      <c r="J41" s="671">
        <v>4</v>
      </c>
      <c r="K41" s="119">
        <v>21500</v>
      </c>
      <c r="L41" s="201">
        <f t="shared" si="1"/>
        <v>430000</v>
      </c>
      <c r="M41" s="202">
        <f t="shared" si="5"/>
        <v>86000</v>
      </c>
      <c r="N41" s="203">
        <f t="shared" si="2"/>
        <v>129000</v>
      </c>
      <c r="O41" s="204">
        <f t="shared" si="3"/>
        <v>129000</v>
      </c>
      <c r="P41" s="205">
        <f t="shared" si="4"/>
        <v>86000</v>
      </c>
      <c r="Q41" s="825" t="s">
        <v>4227</v>
      </c>
      <c r="R41" s="383"/>
      <c r="S41" s="383"/>
      <c r="T41" s="383"/>
      <c r="U41" s="383"/>
    </row>
    <row r="42" spans="1:21" ht="18.75">
      <c r="A42" s="670">
        <v>39</v>
      </c>
      <c r="B42" s="670" t="s">
        <v>352</v>
      </c>
      <c r="C42" s="16"/>
      <c r="D42" s="69">
        <f t="shared" si="0"/>
        <v>1000</v>
      </c>
      <c r="E42" s="670" t="s">
        <v>314</v>
      </c>
      <c r="F42" s="117" t="s">
        <v>353</v>
      </c>
      <c r="G42" s="731"/>
      <c r="H42" s="731">
        <v>300</v>
      </c>
      <c r="I42" s="731">
        <v>400</v>
      </c>
      <c r="J42" s="731">
        <v>300</v>
      </c>
      <c r="K42" s="119">
        <v>2000</v>
      </c>
      <c r="L42" s="201">
        <f t="shared" si="1"/>
        <v>2000000</v>
      </c>
      <c r="M42" s="202">
        <f t="shared" si="5"/>
        <v>0</v>
      </c>
      <c r="N42" s="203">
        <f t="shared" si="2"/>
        <v>600000</v>
      </c>
      <c r="O42" s="204">
        <f t="shared" si="3"/>
        <v>800000</v>
      </c>
      <c r="P42" s="205">
        <f t="shared" si="4"/>
        <v>600000</v>
      </c>
      <c r="Q42" s="825" t="s">
        <v>4227</v>
      </c>
      <c r="R42" s="383"/>
      <c r="S42" s="383"/>
      <c r="T42" s="383"/>
      <c r="U42" s="383"/>
    </row>
    <row r="43" spans="1:21" ht="18.75">
      <c r="A43" s="670">
        <v>40</v>
      </c>
      <c r="B43" s="670" t="s">
        <v>354</v>
      </c>
      <c r="C43" s="16"/>
      <c r="D43" s="69">
        <f t="shared" si="0"/>
        <v>160</v>
      </c>
      <c r="E43" s="670" t="s">
        <v>346</v>
      </c>
      <c r="F43" s="117" t="s">
        <v>355</v>
      </c>
      <c r="G43" s="731">
        <v>40</v>
      </c>
      <c r="H43" s="731">
        <v>40</v>
      </c>
      <c r="I43" s="731">
        <v>40</v>
      </c>
      <c r="J43" s="731">
        <v>40</v>
      </c>
      <c r="K43" s="119">
        <v>31000</v>
      </c>
      <c r="L43" s="201">
        <f t="shared" si="1"/>
        <v>4960000</v>
      </c>
      <c r="M43" s="202">
        <f t="shared" si="5"/>
        <v>1240000</v>
      </c>
      <c r="N43" s="203">
        <f t="shared" si="2"/>
        <v>1240000</v>
      </c>
      <c r="O43" s="204">
        <f t="shared" si="3"/>
        <v>1240000</v>
      </c>
      <c r="P43" s="205">
        <f t="shared" si="4"/>
        <v>1240000</v>
      </c>
      <c r="Q43" s="825" t="s">
        <v>4227</v>
      </c>
      <c r="R43" s="383"/>
      <c r="S43" s="383"/>
      <c r="T43" s="383"/>
      <c r="U43" s="383"/>
    </row>
    <row r="44" spans="1:21" ht="15.75">
      <c r="A44" s="670">
        <v>41</v>
      </c>
      <c r="B44" s="670" t="s">
        <v>356</v>
      </c>
      <c r="C44" s="16"/>
      <c r="D44" s="69">
        <f t="shared" si="0"/>
        <v>5050</v>
      </c>
      <c r="E44" s="670" t="s">
        <v>314</v>
      </c>
      <c r="F44" s="117" t="s">
        <v>357</v>
      </c>
      <c r="G44" s="671">
        <v>1010</v>
      </c>
      <c r="H44" s="671">
        <v>1515</v>
      </c>
      <c r="I44" s="671">
        <v>1515</v>
      </c>
      <c r="J44" s="671">
        <v>1010</v>
      </c>
      <c r="K44" s="119">
        <v>935</v>
      </c>
      <c r="L44" s="201">
        <f t="shared" si="1"/>
        <v>4721750</v>
      </c>
      <c r="M44" s="202">
        <f t="shared" si="5"/>
        <v>944350</v>
      </c>
      <c r="N44" s="203">
        <f t="shared" si="2"/>
        <v>1416525</v>
      </c>
      <c r="O44" s="204">
        <f t="shared" si="3"/>
        <v>1416525</v>
      </c>
      <c r="P44" s="205">
        <f t="shared" si="4"/>
        <v>944350</v>
      </c>
      <c r="Q44" s="825" t="s">
        <v>4227</v>
      </c>
      <c r="R44" s="383"/>
      <c r="S44" s="383"/>
      <c r="T44" s="383"/>
      <c r="U44" s="383"/>
    </row>
    <row r="45" spans="1:21" ht="18.75">
      <c r="A45" s="670">
        <v>42</v>
      </c>
      <c r="B45" s="670" t="s">
        <v>358</v>
      </c>
      <c r="C45" s="16"/>
      <c r="D45" s="69">
        <f t="shared" si="0"/>
        <v>39000</v>
      </c>
      <c r="E45" s="674" t="s">
        <v>286</v>
      </c>
      <c r="F45" s="117" t="s">
        <v>359</v>
      </c>
      <c r="G45" s="731"/>
      <c r="H45" s="731">
        <v>13000</v>
      </c>
      <c r="I45" s="731">
        <v>13000</v>
      </c>
      <c r="J45" s="731">
        <v>13000</v>
      </c>
      <c r="K45" s="119">
        <v>3000</v>
      </c>
      <c r="L45" s="201">
        <f t="shared" si="1"/>
        <v>117000000</v>
      </c>
      <c r="M45" s="202">
        <f t="shared" si="5"/>
        <v>0</v>
      </c>
      <c r="N45" s="203">
        <f t="shared" si="2"/>
        <v>39000000</v>
      </c>
      <c r="O45" s="204">
        <f t="shared" si="3"/>
        <v>39000000</v>
      </c>
      <c r="P45" s="205">
        <f t="shared" si="4"/>
        <v>39000000</v>
      </c>
      <c r="Q45" s="825" t="s">
        <v>4227</v>
      </c>
      <c r="R45" s="383"/>
      <c r="S45" s="383"/>
      <c r="T45" s="383"/>
      <c r="U45" s="383"/>
    </row>
    <row r="46" spans="1:21" ht="18.75">
      <c r="A46" s="670">
        <v>43</v>
      </c>
      <c r="B46" s="674" t="s">
        <v>360</v>
      </c>
      <c r="C46" s="16"/>
      <c r="D46" s="69">
        <f t="shared" si="0"/>
        <v>84.36</v>
      </c>
      <c r="E46" s="674" t="s">
        <v>286</v>
      </c>
      <c r="F46" s="117" t="s">
        <v>361</v>
      </c>
      <c r="G46" s="732">
        <v>24</v>
      </c>
      <c r="H46" s="732">
        <v>36</v>
      </c>
      <c r="I46" s="732">
        <v>0.36</v>
      </c>
      <c r="J46" s="732">
        <v>24</v>
      </c>
      <c r="K46" s="119">
        <v>14784</v>
      </c>
      <c r="L46" s="201">
        <f t="shared" si="1"/>
        <v>1247178.24</v>
      </c>
      <c r="M46" s="202">
        <f t="shared" si="5"/>
        <v>354816</v>
      </c>
      <c r="N46" s="203">
        <f t="shared" si="2"/>
        <v>532224</v>
      </c>
      <c r="O46" s="204">
        <f t="shared" si="3"/>
        <v>5322.24</v>
      </c>
      <c r="P46" s="205">
        <f t="shared" si="4"/>
        <v>354816</v>
      </c>
      <c r="Q46" s="825" t="s">
        <v>4227</v>
      </c>
      <c r="R46" s="383"/>
      <c r="S46" s="383"/>
      <c r="T46" s="383"/>
      <c r="U46" s="383"/>
    </row>
    <row r="47" spans="1:21" ht="18.75">
      <c r="A47" s="670">
        <v>44</v>
      </c>
      <c r="B47" s="674" t="s">
        <v>362</v>
      </c>
      <c r="C47" s="16"/>
      <c r="D47" s="69">
        <f t="shared" si="0"/>
        <v>20</v>
      </c>
      <c r="E47" s="674" t="s">
        <v>286</v>
      </c>
      <c r="F47" s="117" t="s">
        <v>363</v>
      </c>
      <c r="G47" s="731"/>
      <c r="H47" s="731">
        <v>7</v>
      </c>
      <c r="I47" s="731">
        <v>7</v>
      </c>
      <c r="J47" s="731">
        <v>6</v>
      </c>
      <c r="K47" s="119">
        <v>123200</v>
      </c>
      <c r="L47" s="201">
        <f t="shared" si="1"/>
        <v>2464000</v>
      </c>
      <c r="M47" s="202">
        <f t="shared" si="5"/>
        <v>0</v>
      </c>
      <c r="N47" s="203">
        <f t="shared" si="2"/>
        <v>862400</v>
      </c>
      <c r="O47" s="204">
        <f t="shared" si="3"/>
        <v>862400</v>
      </c>
      <c r="P47" s="205">
        <f t="shared" si="4"/>
        <v>739200</v>
      </c>
      <c r="Q47" s="825" t="s">
        <v>4227</v>
      </c>
      <c r="R47" s="383"/>
      <c r="S47" s="383"/>
      <c r="T47" s="383"/>
      <c r="U47" s="383"/>
    </row>
    <row r="48" spans="1:21" ht="18.75">
      <c r="A48" s="670">
        <v>45</v>
      </c>
      <c r="B48" s="674" t="s">
        <v>364</v>
      </c>
      <c r="C48" s="16"/>
      <c r="D48" s="69">
        <f t="shared" si="0"/>
        <v>30</v>
      </c>
      <c r="E48" s="674" t="s">
        <v>286</v>
      </c>
      <c r="F48" s="117" t="s">
        <v>353</v>
      </c>
      <c r="G48" s="731"/>
      <c r="H48" s="731">
        <v>10</v>
      </c>
      <c r="I48" s="731">
        <v>10</v>
      </c>
      <c r="J48" s="731">
        <v>10</v>
      </c>
      <c r="K48" s="119">
        <v>26400</v>
      </c>
      <c r="L48" s="201">
        <f t="shared" si="1"/>
        <v>792000</v>
      </c>
      <c r="M48" s="202">
        <f t="shared" si="5"/>
        <v>0</v>
      </c>
      <c r="N48" s="203">
        <f t="shared" si="2"/>
        <v>264000</v>
      </c>
      <c r="O48" s="204">
        <f t="shared" si="3"/>
        <v>264000</v>
      </c>
      <c r="P48" s="205">
        <f t="shared" si="4"/>
        <v>264000</v>
      </c>
      <c r="Q48" s="825" t="s">
        <v>4227</v>
      </c>
      <c r="R48" s="383"/>
      <c r="S48" s="383"/>
      <c r="T48" s="383"/>
      <c r="U48" s="383"/>
    </row>
    <row r="49" spans="1:21" ht="25.5">
      <c r="A49" s="670">
        <v>46</v>
      </c>
      <c r="B49" s="674" t="s">
        <v>365</v>
      </c>
      <c r="C49" s="16"/>
      <c r="D49" s="69">
        <f t="shared" si="0"/>
        <v>10800</v>
      </c>
      <c r="E49" s="674"/>
      <c r="F49" s="117" t="s">
        <v>366</v>
      </c>
      <c r="G49" s="732">
        <v>2160</v>
      </c>
      <c r="H49" s="732">
        <v>3240</v>
      </c>
      <c r="I49" s="732">
        <v>3240</v>
      </c>
      <c r="J49" s="732">
        <v>2160</v>
      </c>
      <c r="K49" s="119">
        <v>8624</v>
      </c>
      <c r="L49" s="201">
        <f t="shared" si="1"/>
        <v>93139200</v>
      </c>
      <c r="M49" s="202">
        <f t="shared" si="5"/>
        <v>18627840</v>
      </c>
      <c r="N49" s="203">
        <f t="shared" si="2"/>
        <v>27941760</v>
      </c>
      <c r="O49" s="204">
        <f t="shared" si="3"/>
        <v>27941760</v>
      </c>
      <c r="P49" s="205">
        <f t="shared" si="4"/>
        <v>18627840</v>
      </c>
      <c r="Q49" s="834" t="s">
        <v>4236</v>
      </c>
      <c r="R49" s="383"/>
      <c r="S49" s="383"/>
      <c r="T49" s="383"/>
      <c r="U49" s="383"/>
    </row>
    <row r="50" spans="1:21" ht="25.5">
      <c r="A50" s="453">
        <v>47</v>
      </c>
      <c r="B50" s="736" t="s">
        <v>367</v>
      </c>
      <c r="C50" s="165"/>
      <c r="D50" s="69">
        <f t="shared" si="0"/>
        <v>210</v>
      </c>
      <c r="E50" s="736" t="s">
        <v>286</v>
      </c>
      <c r="F50" s="390" t="s">
        <v>368</v>
      </c>
      <c r="G50" s="740">
        <v>42</v>
      </c>
      <c r="H50" s="740">
        <v>63</v>
      </c>
      <c r="I50" s="740">
        <v>63</v>
      </c>
      <c r="J50" s="740">
        <v>42</v>
      </c>
      <c r="K50" s="389">
        <v>14000</v>
      </c>
      <c r="L50" s="69">
        <f t="shared" si="1"/>
        <v>2940000</v>
      </c>
      <c r="M50" s="69">
        <f t="shared" si="5"/>
        <v>588000</v>
      </c>
      <c r="N50" s="69">
        <f t="shared" si="2"/>
        <v>882000</v>
      </c>
      <c r="O50" s="69">
        <f t="shared" si="3"/>
        <v>882000</v>
      </c>
      <c r="P50" s="69">
        <f t="shared" si="4"/>
        <v>588000</v>
      </c>
      <c r="Q50" s="860" t="s">
        <v>4236</v>
      </c>
      <c r="R50" s="383"/>
      <c r="S50" s="383"/>
      <c r="T50" s="383"/>
      <c r="U50" s="383"/>
    </row>
    <row r="51" spans="1:21" ht="18.75">
      <c r="A51" s="670">
        <v>48</v>
      </c>
      <c r="B51" s="670" t="s">
        <v>369</v>
      </c>
      <c r="C51" s="16"/>
      <c r="D51" s="69">
        <f t="shared" si="0"/>
        <v>16</v>
      </c>
      <c r="E51" s="670" t="s">
        <v>278</v>
      </c>
      <c r="F51" s="117" t="s">
        <v>370</v>
      </c>
      <c r="G51" s="732">
        <v>3</v>
      </c>
      <c r="H51" s="732">
        <v>5</v>
      </c>
      <c r="I51" s="732">
        <v>5</v>
      </c>
      <c r="J51" s="732">
        <v>3</v>
      </c>
      <c r="K51" s="119">
        <v>1943700</v>
      </c>
      <c r="L51" s="201">
        <f t="shared" si="1"/>
        <v>31099200</v>
      </c>
      <c r="M51" s="202">
        <f t="shared" si="5"/>
        <v>5831100</v>
      </c>
      <c r="N51" s="203">
        <f t="shared" si="2"/>
        <v>9718500</v>
      </c>
      <c r="O51" s="204">
        <f t="shared" si="3"/>
        <v>9718500</v>
      </c>
      <c r="P51" s="205">
        <f t="shared" si="4"/>
        <v>5831100</v>
      </c>
      <c r="Q51" s="834" t="s">
        <v>4236</v>
      </c>
      <c r="R51" s="383"/>
      <c r="S51" s="383"/>
      <c r="T51" s="383"/>
      <c r="U51" s="383"/>
    </row>
    <row r="52" spans="1:21" ht="18.75">
      <c r="A52" s="670">
        <v>49</v>
      </c>
      <c r="B52" s="670" t="s">
        <v>371</v>
      </c>
      <c r="C52" s="16"/>
      <c r="D52" s="69">
        <f t="shared" si="0"/>
        <v>15</v>
      </c>
      <c r="E52" s="674" t="s">
        <v>372</v>
      </c>
      <c r="F52" s="117" t="s">
        <v>373</v>
      </c>
      <c r="G52" s="731"/>
      <c r="H52" s="731">
        <v>5</v>
      </c>
      <c r="I52" s="731">
        <v>5</v>
      </c>
      <c r="J52" s="731">
        <v>5</v>
      </c>
      <c r="K52" s="389">
        <v>250000</v>
      </c>
      <c r="L52" s="201">
        <f t="shared" si="1"/>
        <v>3750000</v>
      </c>
      <c r="M52" s="202">
        <f t="shared" si="5"/>
        <v>0</v>
      </c>
      <c r="N52" s="203">
        <f t="shared" si="2"/>
        <v>1250000</v>
      </c>
      <c r="O52" s="204">
        <f t="shared" si="3"/>
        <v>1250000</v>
      </c>
      <c r="P52" s="205">
        <f t="shared" si="4"/>
        <v>1250000</v>
      </c>
      <c r="Q52" s="834" t="s">
        <v>4236</v>
      </c>
      <c r="R52" s="383"/>
      <c r="S52" s="383"/>
      <c r="T52" s="383"/>
      <c r="U52" s="383"/>
    </row>
    <row r="53" spans="1:21" ht="18.75">
      <c r="A53" s="670">
        <v>50</v>
      </c>
      <c r="B53" s="670" t="s">
        <v>374</v>
      </c>
      <c r="C53" s="16"/>
      <c r="D53" s="69">
        <f t="shared" si="0"/>
        <v>40</v>
      </c>
      <c r="E53" s="674" t="s">
        <v>286</v>
      </c>
      <c r="F53" s="117" t="s">
        <v>375</v>
      </c>
      <c r="G53" s="732">
        <v>8</v>
      </c>
      <c r="H53" s="732">
        <v>12</v>
      </c>
      <c r="I53" s="732">
        <v>12</v>
      </c>
      <c r="J53" s="732">
        <v>8</v>
      </c>
      <c r="K53" s="119">
        <v>64064</v>
      </c>
      <c r="L53" s="201">
        <f t="shared" si="1"/>
        <v>2562560</v>
      </c>
      <c r="M53" s="202">
        <f t="shared" si="5"/>
        <v>512512</v>
      </c>
      <c r="N53" s="203">
        <f t="shared" si="2"/>
        <v>768768</v>
      </c>
      <c r="O53" s="204">
        <f t="shared" si="3"/>
        <v>768768</v>
      </c>
      <c r="P53" s="205">
        <f t="shared" si="4"/>
        <v>512512</v>
      </c>
      <c r="Q53" s="825" t="s">
        <v>4227</v>
      </c>
      <c r="R53" s="383"/>
      <c r="S53" s="383"/>
      <c r="T53" s="383"/>
      <c r="U53" s="383"/>
    </row>
    <row r="54" spans="1:21" ht="18.75">
      <c r="A54" s="670">
        <v>51</v>
      </c>
      <c r="B54" s="670" t="s">
        <v>376</v>
      </c>
      <c r="C54" s="16"/>
      <c r="D54" s="69">
        <f t="shared" si="0"/>
        <v>40</v>
      </c>
      <c r="E54" s="674" t="s">
        <v>286</v>
      </c>
      <c r="F54" s="117" t="s">
        <v>377</v>
      </c>
      <c r="G54" s="732">
        <v>8</v>
      </c>
      <c r="H54" s="732">
        <v>12</v>
      </c>
      <c r="I54" s="732">
        <v>12</v>
      </c>
      <c r="J54" s="732">
        <v>8</v>
      </c>
      <c r="K54" s="119">
        <v>81312</v>
      </c>
      <c r="L54" s="201">
        <f t="shared" si="1"/>
        <v>3252480</v>
      </c>
      <c r="M54" s="202">
        <f t="shared" si="5"/>
        <v>650496</v>
      </c>
      <c r="N54" s="203">
        <f t="shared" si="2"/>
        <v>975744</v>
      </c>
      <c r="O54" s="204">
        <f t="shared" si="3"/>
        <v>975744</v>
      </c>
      <c r="P54" s="205">
        <f t="shared" si="4"/>
        <v>650496</v>
      </c>
      <c r="Q54" s="825" t="s">
        <v>4227</v>
      </c>
      <c r="R54" s="383"/>
      <c r="S54" s="383"/>
      <c r="T54" s="383"/>
      <c r="U54" s="383"/>
    </row>
    <row r="55" spans="1:21" ht="18.75">
      <c r="A55" s="670">
        <v>52</v>
      </c>
      <c r="B55" s="670" t="s">
        <v>378</v>
      </c>
      <c r="C55" s="16"/>
      <c r="D55" s="69">
        <f t="shared" si="0"/>
        <v>16</v>
      </c>
      <c r="E55" s="674" t="s">
        <v>286</v>
      </c>
      <c r="F55" s="117" t="s">
        <v>379</v>
      </c>
      <c r="G55" s="732">
        <v>3</v>
      </c>
      <c r="H55" s="732">
        <v>5</v>
      </c>
      <c r="I55" s="732">
        <v>5</v>
      </c>
      <c r="J55" s="732">
        <v>3</v>
      </c>
      <c r="K55" s="119">
        <v>88704</v>
      </c>
      <c r="L55" s="201">
        <f t="shared" si="1"/>
        <v>1419264</v>
      </c>
      <c r="M55" s="202">
        <f t="shared" si="5"/>
        <v>266112</v>
      </c>
      <c r="N55" s="203">
        <f t="shared" si="2"/>
        <v>443520</v>
      </c>
      <c r="O55" s="204">
        <f t="shared" si="3"/>
        <v>443520</v>
      </c>
      <c r="P55" s="205">
        <f t="shared" si="4"/>
        <v>266112</v>
      </c>
      <c r="Q55" s="825" t="s">
        <v>4227</v>
      </c>
      <c r="R55" s="383"/>
      <c r="S55" s="383"/>
      <c r="T55" s="383"/>
      <c r="U55" s="383"/>
    </row>
    <row r="56" spans="1:21" ht="18.75">
      <c r="A56" s="670">
        <v>53</v>
      </c>
      <c r="B56" s="670" t="s">
        <v>380</v>
      </c>
      <c r="C56" s="16"/>
      <c r="D56" s="69">
        <f t="shared" si="0"/>
        <v>84</v>
      </c>
      <c r="E56" s="674" t="s">
        <v>286</v>
      </c>
      <c r="F56" s="117" t="s">
        <v>379</v>
      </c>
      <c r="G56" s="732">
        <v>17</v>
      </c>
      <c r="H56" s="732">
        <v>25</v>
      </c>
      <c r="I56" s="732">
        <v>25</v>
      </c>
      <c r="J56" s="732">
        <v>17</v>
      </c>
      <c r="K56" s="119">
        <v>223740</v>
      </c>
      <c r="L56" s="201">
        <f t="shared" si="1"/>
        <v>18794160</v>
      </c>
      <c r="M56" s="202">
        <f t="shared" si="5"/>
        <v>3803580</v>
      </c>
      <c r="N56" s="203">
        <f t="shared" si="2"/>
        <v>5593500</v>
      </c>
      <c r="O56" s="204">
        <f t="shared" si="3"/>
        <v>5593500</v>
      </c>
      <c r="P56" s="205">
        <f t="shared" si="4"/>
        <v>3803580</v>
      </c>
      <c r="Q56" s="825" t="s">
        <v>4227</v>
      </c>
      <c r="R56" s="383"/>
      <c r="S56" s="383"/>
      <c r="T56" s="383"/>
      <c r="U56" s="383"/>
    </row>
    <row r="57" spans="1:21" ht="18.75">
      <c r="A57" s="670">
        <v>54</v>
      </c>
      <c r="B57" s="670" t="s">
        <v>381</v>
      </c>
      <c r="C57" s="16"/>
      <c r="D57" s="69">
        <f t="shared" si="0"/>
        <v>36</v>
      </c>
      <c r="E57" s="674" t="s">
        <v>286</v>
      </c>
      <c r="F57" s="117" t="s">
        <v>379</v>
      </c>
      <c r="G57" s="732">
        <v>7</v>
      </c>
      <c r="H57" s="732">
        <v>11</v>
      </c>
      <c r="I57" s="732">
        <v>11</v>
      </c>
      <c r="J57" s="732">
        <v>7</v>
      </c>
      <c r="K57" s="119">
        <v>203280</v>
      </c>
      <c r="L57" s="201">
        <f t="shared" si="1"/>
        <v>7318080</v>
      </c>
      <c r="M57" s="202">
        <f t="shared" si="5"/>
        <v>1422960</v>
      </c>
      <c r="N57" s="203">
        <f t="shared" si="2"/>
        <v>2236080</v>
      </c>
      <c r="O57" s="204">
        <f t="shared" si="3"/>
        <v>2236080</v>
      </c>
      <c r="P57" s="205">
        <f t="shared" si="4"/>
        <v>1422960</v>
      </c>
      <c r="Q57" s="825" t="s">
        <v>4227</v>
      </c>
      <c r="R57" s="383"/>
      <c r="S57" s="383"/>
      <c r="T57" s="383"/>
      <c r="U57" s="383"/>
    </row>
    <row r="58" spans="1:21" ht="18.75">
      <c r="A58" s="670">
        <v>55</v>
      </c>
      <c r="B58" s="670" t="s">
        <v>382</v>
      </c>
      <c r="C58" s="16"/>
      <c r="D58" s="69">
        <f t="shared" si="0"/>
        <v>46</v>
      </c>
      <c r="E58" s="674" t="s">
        <v>286</v>
      </c>
      <c r="F58" s="117" t="s">
        <v>379</v>
      </c>
      <c r="G58" s="732">
        <v>9</v>
      </c>
      <c r="H58" s="732">
        <v>14</v>
      </c>
      <c r="I58" s="732">
        <v>14</v>
      </c>
      <c r="J58" s="732">
        <v>9</v>
      </c>
      <c r="K58" s="119">
        <v>385000</v>
      </c>
      <c r="L58" s="201">
        <f t="shared" si="1"/>
        <v>17710000</v>
      </c>
      <c r="M58" s="202">
        <f t="shared" si="5"/>
        <v>3465000</v>
      </c>
      <c r="N58" s="203">
        <f t="shared" si="2"/>
        <v>5390000</v>
      </c>
      <c r="O58" s="204">
        <f t="shared" si="3"/>
        <v>5390000</v>
      </c>
      <c r="P58" s="205">
        <f t="shared" si="4"/>
        <v>3465000</v>
      </c>
      <c r="Q58" s="834" t="s">
        <v>4236</v>
      </c>
      <c r="R58" s="383"/>
      <c r="S58" s="383"/>
      <c r="T58" s="383"/>
      <c r="U58" s="383"/>
    </row>
    <row r="59" spans="1:21" ht="18.75">
      <c r="A59" s="670">
        <v>56</v>
      </c>
      <c r="B59" s="16" t="s">
        <v>383</v>
      </c>
      <c r="C59" s="16"/>
      <c r="D59" s="69">
        <f t="shared" si="0"/>
        <v>3</v>
      </c>
      <c r="E59" s="674" t="s">
        <v>286</v>
      </c>
      <c r="F59" s="117" t="s">
        <v>384</v>
      </c>
      <c r="G59" s="732"/>
      <c r="H59" s="732">
        <v>1</v>
      </c>
      <c r="I59" s="732">
        <v>1</v>
      </c>
      <c r="J59" s="732">
        <v>1</v>
      </c>
      <c r="K59" s="119">
        <v>2446952.2000000002</v>
      </c>
      <c r="L59" s="201">
        <f t="shared" si="1"/>
        <v>7340856.6000000006</v>
      </c>
      <c r="M59" s="202">
        <f t="shared" si="5"/>
        <v>0</v>
      </c>
      <c r="N59" s="203">
        <f t="shared" si="2"/>
        <v>2446952.2000000002</v>
      </c>
      <c r="O59" s="204">
        <f t="shared" si="3"/>
        <v>2446952.2000000002</v>
      </c>
      <c r="P59" s="205">
        <f t="shared" si="4"/>
        <v>2446952.2000000002</v>
      </c>
      <c r="Q59" s="834" t="s">
        <v>4236</v>
      </c>
      <c r="R59" s="383"/>
      <c r="S59" s="383"/>
      <c r="T59" s="383"/>
      <c r="U59" s="383"/>
    </row>
    <row r="60" spans="1:21" ht="15.75">
      <c r="A60" s="670">
        <v>57</v>
      </c>
      <c r="B60" s="674" t="s">
        <v>386</v>
      </c>
      <c r="C60" s="16"/>
      <c r="D60" s="69">
        <f t="shared" si="0"/>
        <v>286</v>
      </c>
      <c r="E60" s="670" t="s">
        <v>278</v>
      </c>
      <c r="F60" s="117" t="s">
        <v>387</v>
      </c>
      <c r="G60" s="671">
        <v>57</v>
      </c>
      <c r="H60" s="671">
        <v>86</v>
      </c>
      <c r="I60" s="671">
        <v>86</v>
      </c>
      <c r="J60" s="671">
        <v>57</v>
      </c>
      <c r="K60" s="119">
        <v>165000</v>
      </c>
      <c r="L60" s="201">
        <f t="shared" si="1"/>
        <v>47190000</v>
      </c>
      <c r="M60" s="202">
        <f t="shared" si="5"/>
        <v>9405000</v>
      </c>
      <c r="N60" s="203">
        <f t="shared" si="2"/>
        <v>14190000</v>
      </c>
      <c r="O60" s="204">
        <f t="shared" si="3"/>
        <v>14190000</v>
      </c>
      <c r="P60" s="205">
        <f t="shared" si="4"/>
        <v>9405000</v>
      </c>
      <c r="Q60" s="825" t="s">
        <v>4227</v>
      </c>
      <c r="R60" s="383"/>
      <c r="S60" s="383"/>
      <c r="T60" s="383"/>
      <c r="U60" s="383"/>
    </row>
    <row r="61" spans="1:21" ht="15.75">
      <c r="A61" s="670">
        <v>58</v>
      </c>
      <c r="B61" s="736" t="s">
        <v>388</v>
      </c>
      <c r="C61" s="165"/>
      <c r="D61" s="69">
        <f t="shared" si="0"/>
        <v>350</v>
      </c>
      <c r="E61" s="453" t="s">
        <v>278</v>
      </c>
      <c r="F61" s="390" t="s">
        <v>389</v>
      </c>
      <c r="G61" s="69">
        <v>70</v>
      </c>
      <c r="H61" s="69">
        <v>105</v>
      </c>
      <c r="I61" s="69">
        <v>105</v>
      </c>
      <c r="J61" s="69">
        <v>70</v>
      </c>
      <c r="K61" s="389">
        <v>170000</v>
      </c>
      <c r="L61" s="201">
        <f t="shared" si="1"/>
        <v>59500000</v>
      </c>
      <c r="M61" s="202">
        <f t="shared" si="5"/>
        <v>11900000</v>
      </c>
      <c r="N61" s="203">
        <f t="shared" si="2"/>
        <v>17850000</v>
      </c>
      <c r="O61" s="204">
        <f t="shared" si="3"/>
        <v>17850000</v>
      </c>
      <c r="P61" s="205">
        <f t="shared" si="4"/>
        <v>11900000</v>
      </c>
      <c r="Q61" s="825" t="s">
        <v>4227</v>
      </c>
      <c r="R61" s="383"/>
      <c r="S61" s="383"/>
      <c r="T61" s="383"/>
      <c r="U61" s="383"/>
    </row>
    <row r="62" spans="1:21" ht="18.75">
      <c r="A62" s="670">
        <v>59</v>
      </c>
      <c r="B62" s="453" t="s">
        <v>391</v>
      </c>
      <c r="C62" s="165"/>
      <c r="D62" s="69">
        <f t="shared" si="0"/>
        <v>5</v>
      </c>
      <c r="E62" s="736" t="s">
        <v>286</v>
      </c>
      <c r="F62" s="390" t="s">
        <v>392</v>
      </c>
      <c r="G62" s="732">
        <v>1</v>
      </c>
      <c r="H62" s="732">
        <v>2</v>
      </c>
      <c r="I62" s="732">
        <v>2</v>
      </c>
      <c r="J62" s="732"/>
      <c r="K62" s="389">
        <v>100000</v>
      </c>
      <c r="L62" s="201">
        <f t="shared" si="1"/>
        <v>500000</v>
      </c>
      <c r="M62" s="202">
        <f t="shared" si="5"/>
        <v>100000</v>
      </c>
      <c r="N62" s="203">
        <f t="shared" si="2"/>
        <v>200000</v>
      </c>
      <c r="O62" s="204">
        <f t="shared" si="3"/>
        <v>200000</v>
      </c>
      <c r="P62" s="205">
        <f t="shared" si="4"/>
        <v>0</v>
      </c>
      <c r="Q62" s="834" t="s">
        <v>4236</v>
      </c>
      <c r="R62" s="383"/>
      <c r="S62" s="383"/>
      <c r="T62" s="383"/>
      <c r="U62" s="383"/>
    </row>
    <row r="63" spans="1:21" ht="15.75">
      <c r="A63" s="670">
        <v>60</v>
      </c>
      <c r="B63" s="453" t="s">
        <v>393</v>
      </c>
      <c r="C63" s="165"/>
      <c r="D63" s="69">
        <f t="shared" si="0"/>
        <v>86</v>
      </c>
      <c r="E63" s="736" t="s">
        <v>286</v>
      </c>
      <c r="F63" s="390" t="s">
        <v>394</v>
      </c>
      <c r="G63" s="69">
        <v>17</v>
      </c>
      <c r="H63" s="69">
        <v>26</v>
      </c>
      <c r="I63" s="69">
        <v>26</v>
      </c>
      <c r="J63" s="69">
        <v>17</v>
      </c>
      <c r="K63" s="389">
        <v>4000000</v>
      </c>
      <c r="L63" s="201">
        <f t="shared" si="1"/>
        <v>344000000</v>
      </c>
      <c r="M63" s="202">
        <f t="shared" si="5"/>
        <v>68000000</v>
      </c>
      <c r="N63" s="203">
        <f t="shared" si="2"/>
        <v>104000000</v>
      </c>
      <c r="O63" s="204">
        <f t="shared" si="3"/>
        <v>104000000</v>
      </c>
      <c r="P63" s="205">
        <f t="shared" si="4"/>
        <v>68000000</v>
      </c>
      <c r="Q63" s="834" t="s">
        <v>4236</v>
      </c>
      <c r="R63" s="383"/>
      <c r="S63" s="383"/>
      <c r="T63" s="383"/>
      <c r="U63" s="383"/>
    </row>
    <row r="64" spans="1:21" ht="18.75">
      <c r="A64" s="670">
        <v>61</v>
      </c>
      <c r="B64" s="453" t="s">
        <v>395</v>
      </c>
      <c r="C64" s="165"/>
      <c r="D64" s="69">
        <f t="shared" si="0"/>
        <v>30</v>
      </c>
      <c r="E64" s="736" t="s">
        <v>286</v>
      </c>
      <c r="F64" s="390" t="s">
        <v>396</v>
      </c>
      <c r="G64" s="731"/>
      <c r="H64" s="731">
        <v>10</v>
      </c>
      <c r="I64" s="731">
        <v>10</v>
      </c>
      <c r="J64" s="731">
        <v>10</v>
      </c>
      <c r="K64" s="389">
        <v>11000000</v>
      </c>
      <c r="L64" s="201">
        <f t="shared" si="1"/>
        <v>330000000</v>
      </c>
      <c r="M64" s="202">
        <f t="shared" si="5"/>
        <v>0</v>
      </c>
      <c r="N64" s="203">
        <f t="shared" si="2"/>
        <v>110000000</v>
      </c>
      <c r="O64" s="204">
        <f t="shared" si="3"/>
        <v>110000000</v>
      </c>
      <c r="P64" s="205">
        <f t="shared" si="4"/>
        <v>110000000</v>
      </c>
      <c r="Q64" s="834" t="s">
        <v>4236</v>
      </c>
      <c r="R64" s="383"/>
      <c r="S64" s="383"/>
      <c r="T64" s="383"/>
      <c r="U64" s="383"/>
    </row>
    <row r="65" spans="1:21" ht="18.75">
      <c r="A65" s="670">
        <v>62</v>
      </c>
      <c r="B65" s="736" t="s">
        <v>397</v>
      </c>
      <c r="C65" s="165"/>
      <c r="D65" s="69">
        <f t="shared" si="0"/>
        <v>16</v>
      </c>
      <c r="E65" s="736" t="s">
        <v>286</v>
      </c>
      <c r="F65" s="390" t="s">
        <v>398</v>
      </c>
      <c r="G65" s="732">
        <v>0</v>
      </c>
      <c r="H65" s="732">
        <v>6</v>
      </c>
      <c r="I65" s="732">
        <v>6</v>
      </c>
      <c r="J65" s="732">
        <v>4</v>
      </c>
      <c r="K65" s="389">
        <v>3300000</v>
      </c>
      <c r="L65" s="201">
        <f t="shared" si="1"/>
        <v>52800000</v>
      </c>
      <c r="M65" s="202">
        <f t="shared" si="5"/>
        <v>0</v>
      </c>
      <c r="N65" s="203">
        <f t="shared" si="2"/>
        <v>19800000</v>
      </c>
      <c r="O65" s="204">
        <f t="shared" si="3"/>
        <v>19800000</v>
      </c>
      <c r="P65" s="205">
        <f t="shared" si="4"/>
        <v>13200000</v>
      </c>
      <c r="Q65" s="834" t="s">
        <v>4236</v>
      </c>
      <c r="R65" s="383"/>
      <c r="S65" s="383"/>
      <c r="T65" s="383"/>
      <c r="U65" s="383"/>
    </row>
    <row r="66" spans="1:21" ht="18.75">
      <c r="A66" s="453"/>
      <c r="B66" s="736" t="s">
        <v>399</v>
      </c>
      <c r="C66" s="165"/>
      <c r="D66" s="69">
        <f t="shared" si="0"/>
        <v>12</v>
      </c>
      <c r="E66" s="736" t="s">
        <v>286</v>
      </c>
      <c r="F66" s="390" t="s">
        <v>398</v>
      </c>
      <c r="G66" s="732">
        <v>0</v>
      </c>
      <c r="H66" s="732">
        <v>5</v>
      </c>
      <c r="I66" s="732">
        <v>4</v>
      </c>
      <c r="J66" s="732">
        <v>3</v>
      </c>
      <c r="K66" s="389">
        <v>1100000</v>
      </c>
      <c r="L66" s="201">
        <f t="shared" si="1"/>
        <v>13200000</v>
      </c>
      <c r="M66" s="202">
        <f t="shared" si="5"/>
        <v>0</v>
      </c>
      <c r="N66" s="203">
        <f t="shared" si="2"/>
        <v>5500000</v>
      </c>
      <c r="O66" s="204">
        <f t="shared" si="3"/>
        <v>4400000</v>
      </c>
      <c r="P66" s="205">
        <f t="shared" si="4"/>
        <v>3300000</v>
      </c>
      <c r="Q66" s="825" t="s">
        <v>4227</v>
      </c>
      <c r="R66" s="383"/>
      <c r="S66" s="383"/>
      <c r="T66" s="383"/>
      <c r="U66" s="383"/>
    </row>
    <row r="67" spans="1:21" ht="18.75">
      <c r="A67" s="670">
        <v>67</v>
      </c>
      <c r="B67" s="670" t="s">
        <v>400</v>
      </c>
      <c r="C67" s="16"/>
      <c r="D67" s="69">
        <f t="shared" si="0"/>
        <v>5</v>
      </c>
      <c r="E67" s="674" t="s">
        <v>286</v>
      </c>
      <c r="F67" s="117" t="s">
        <v>401</v>
      </c>
      <c r="G67" s="731">
        <v>0</v>
      </c>
      <c r="H67" s="731">
        <v>2</v>
      </c>
      <c r="I67" s="731">
        <v>3</v>
      </c>
      <c r="J67" s="731">
        <v>0</v>
      </c>
      <c r="K67" s="119">
        <v>1000000</v>
      </c>
      <c r="L67" s="201">
        <f t="shared" si="1"/>
        <v>5000000</v>
      </c>
      <c r="M67" s="202">
        <f t="shared" si="5"/>
        <v>0</v>
      </c>
      <c r="N67" s="203">
        <f t="shared" si="2"/>
        <v>2000000</v>
      </c>
      <c r="O67" s="204">
        <f t="shared" si="3"/>
        <v>3000000</v>
      </c>
      <c r="P67" s="205">
        <f t="shared" si="4"/>
        <v>0</v>
      </c>
      <c r="Q67" s="825" t="s">
        <v>4227</v>
      </c>
      <c r="R67" s="383"/>
      <c r="S67" s="383"/>
      <c r="T67" s="383"/>
      <c r="U67" s="383"/>
    </row>
    <row r="68" spans="1:21" ht="25.5">
      <c r="A68" s="670">
        <v>68</v>
      </c>
      <c r="B68" s="670" t="s">
        <v>402</v>
      </c>
      <c r="C68" s="16"/>
      <c r="D68" s="69">
        <f t="shared" si="0"/>
        <v>2</v>
      </c>
      <c r="E68" s="674" t="s">
        <v>286</v>
      </c>
      <c r="F68" s="117" t="s">
        <v>403</v>
      </c>
      <c r="G68" s="731">
        <v>1</v>
      </c>
      <c r="H68" s="731">
        <v>1</v>
      </c>
      <c r="I68" s="731"/>
      <c r="J68" s="731"/>
      <c r="K68" s="119">
        <v>8800000</v>
      </c>
      <c r="L68" s="201">
        <f t="shared" si="1"/>
        <v>17600000</v>
      </c>
      <c r="M68" s="202">
        <f t="shared" si="5"/>
        <v>8800000</v>
      </c>
      <c r="N68" s="203">
        <f t="shared" si="2"/>
        <v>8800000</v>
      </c>
      <c r="O68" s="204">
        <f t="shared" si="3"/>
        <v>0</v>
      </c>
      <c r="P68" s="205">
        <f t="shared" si="4"/>
        <v>0</v>
      </c>
      <c r="Q68" s="825" t="s">
        <v>4227</v>
      </c>
      <c r="R68" s="383"/>
      <c r="S68" s="383"/>
      <c r="T68" s="383"/>
      <c r="U68" s="383"/>
    </row>
    <row r="69" spans="1:21" ht="18.75">
      <c r="A69" s="670">
        <v>69</v>
      </c>
      <c r="B69" s="670" t="s">
        <v>404</v>
      </c>
      <c r="C69" s="16"/>
      <c r="D69" s="69">
        <f>G69+H69+I69+J69</f>
        <v>0.89999999999999991</v>
      </c>
      <c r="E69" s="674" t="s">
        <v>286</v>
      </c>
      <c r="F69" s="117" t="s">
        <v>405</v>
      </c>
      <c r="G69" s="731"/>
      <c r="H69" s="731"/>
      <c r="I69" s="731">
        <v>0.89999999999999991</v>
      </c>
      <c r="J69" s="731"/>
      <c r="K69" s="119">
        <v>15070000</v>
      </c>
      <c r="L69" s="201">
        <f>K69*D69</f>
        <v>13562999.999999998</v>
      </c>
      <c r="M69" s="202">
        <f t="shared" si="5"/>
        <v>0</v>
      </c>
      <c r="N69" s="203">
        <f>K69*H69</f>
        <v>0</v>
      </c>
      <c r="O69" s="204">
        <f>K69*I69</f>
        <v>13562999.999999998</v>
      </c>
      <c r="P69" s="205">
        <f>K69*J69</f>
        <v>0</v>
      </c>
      <c r="Q69" s="825" t="s">
        <v>4227</v>
      </c>
      <c r="R69" s="383"/>
      <c r="S69" s="383"/>
      <c r="T69" s="383"/>
      <c r="U69" s="383"/>
    </row>
    <row r="70" spans="1:21" ht="18.75">
      <c r="A70" s="670">
        <v>70</v>
      </c>
      <c r="B70" s="674" t="s">
        <v>406</v>
      </c>
      <c r="C70" s="16"/>
      <c r="D70" s="69">
        <f>G70+H70+I70+J70</f>
        <v>26</v>
      </c>
      <c r="E70" s="674" t="s">
        <v>286</v>
      </c>
      <c r="F70" s="117" t="s">
        <v>407</v>
      </c>
      <c r="G70" s="732">
        <v>5</v>
      </c>
      <c r="H70" s="732">
        <v>8</v>
      </c>
      <c r="I70" s="732">
        <v>8</v>
      </c>
      <c r="J70" s="732">
        <v>5</v>
      </c>
      <c r="K70" s="389">
        <v>15000000</v>
      </c>
      <c r="L70" s="201">
        <f>K70*D70</f>
        <v>390000000</v>
      </c>
      <c r="M70" s="202">
        <f>K70*G70</f>
        <v>75000000</v>
      </c>
      <c r="N70" s="203">
        <f>K70*H70</f>
        <v>120000000</v>
      </c>
      <c r="O70" s="204">
        <f>K70*I70</f>
        <v>120000000</v>
      </c>
      <c r="P70" s="205">
        <f>K70*J70</f>
        <v>75000000</v>
      </c>
      <c r="Q70" s="834" t="s">
        <v>4236</v>
      </c>
      <c r="R70" s="383"/>
      <c r="S70" s="383"/>
      <c r="T70" s="383"/>
      <c r="U70" s="383"/>
    </row>
    <row r="71" spans="1:21" ht="18.75">
      <c r="A71" s="453">
        <v>71</v>
      </c>
      <c r="B71" s="736" t="s">
        <v>408</v>
      </c>
      <c r="C71" s="165"/>
      <c r="D71" s="69">
        <f>G71+H71+I71+J71</f>
        <v>16</v>
      </c>
      <c r="E71" s="736" t="s">
        <v>286</v>
      </c>
      <c r="F71" s="390" t="s">
        <v>409</v>
      </c>
      <c r="G71" s="732">
        <v>3</v>
      </c>
      <c r="H71" s="732">
        <v>5</v>
      </c>
      <c r="I71" s="732">
        <v>5</v>
      </c>
      <c r="J71" s="732">
        <v>3</v>
      </c>
      <c r="K71" s="389">
        <v>550000</v>
      </c>
      <c r="L71" s="201">
        <f>K71*D71</f>
        <v>8800000</v>
      </c>
      <c r="M71" s="202">
        <f>K71*G71</f>
        <v>1650000</v>
      </c>
      <c r="N71" s="203">
        <f>K71*H71</f>
        <v>2750000</v>
      </c>
      <c r="O71" s="204">
        <f>K71*I71</f>
        <v>2750000</v>
      </c>
      <c r="P71" s="205">
        <f>K71*J71</f>
        <v>1650000</v>
      </c>
      <c r="Q71" s="834" t="s">
        <v>4236</v>
      </c>
      <c r="R71" s="383"/>
      <c r="S71" s="383"/>
      <c r="T71" s="383"/>
      <c r="U71" s="383"/>
    </row>
    <row r="72" spans="1:21" ht="18.75" customHeight="1">
      <c r="A72" s="1162" t="s">
        <v>2817</v>
      </c>
      <c r="B72" s="1162"/>
      <c r="C72" s="1162"/>
      <c r="D72" s="1162"/>
      <c r="E72" s="1162"/>
      <c r="F72" s="1162"/>
      <c r="G72" s="1162"/>
      <c r="H72" s="1162"/>
      <c r="I72" s="1162"/>
      <c r="J72" s="1162"/>
      <c r="L72" s="391">
        <f>SUM(L4:L71)</f>
        <v>4208071566.8399997</v>
      </c>
      <c r="M72" s="391">
        <f>SUM(M4:M71)</f>
        <v>497863966</v>
      </c>
      <c r="N72" s="391">
        <f>SUM(N4:N71)</f>
        <v>973837719.20000005</v>
      </c>
      <c r="O72" s="391">
        <f>SUM(O4:O71)</f>
        <v>1487633817.4400001</v>
      </c>
      <c r="P72" s="391">
        <f>SUM(P4:P71)</f>
        <v>1248736064.2</v>
      </c>
      <c r="R72" s="383"/>
      <c r="S72" s="383"/>
      <c r="T72" s="383"/>
      <c r="U72" s="383"/>
    </row>
    <row r="73" spans="1:21" ht="15.75">
      <c r="A73" s="1163"/>
      <c r="B73" s="1163"/>
      <c r="C73" s="1163"/>
      <c r="D73" s="1163"/>
      <c r="E73" s="1163"/>
      <c r="F73" s="1163"/>
      <c r="G73" s="1163"/>
      <c r="H73" s="1163"/>
      <c r="I73" s="1163"/>
      <c r="J73" s="1163"/>
    </row>
    <row r="74" spans="1:21" ht="15.75">
      <c r="A74" s="738"/>
      <c r="B74" s="738"/>
      <c r="C74" s="738"/>
      <c r="D74" s="738"/>
      <c r="E74" s="738"/>
      <c r="F74" s="738"/>
      <c r="G74" s="738"/>
      <c r="H74" s="738"/>
      <c r="I74" s="738"/>
      <c r="J74" s="738"/>
    </row>
    <row r="75" spans="1:21" ht="15.75">
      <c r="A75" s="738"/>
      <c r="B75" s="738"/>
      <c r="C75" s="738"/>
      <c r="D75" s="738"/>
      <c r="E75" s="738"/>
      <c r="F75" s="738"/>
      <c r="G75" s="738"/>
      <c r="H75" s="738"/>
      <c r="I75" s="738"/>
      <c r="J75" s="738"/>
      <c r="N75" s="509"/>
    </row>
    <row r="76" spans="1:21" ht="15.75">
      <c r="A76" s="738"/>
      <c r="B76" s="738"/>
      <c r="C76" s="738"/>
      <c r="D76" s="738"/>
      <c r="E76" s="738"/>
      <c r="F76" s="738"/>
      <c r="G76" s="738"/>
      <c r="H76" s="738"/>
      <c r="I76" s="738"/>
      <c r="J76" s="738"/>
    </row>
    <row r="77" spans="1:21" ht="15.75">
      <c r="A77" s="738"/>
      <c r="B77" s="1163"/>
      <c r="C77" s="1163"/>
      <c r="D77" s="62"/>
      <c r="E77" s="1164"/>
      <c r="F77" s="1164"/>
      <c r="G77" s="62"/>
      <c r="H77" s="62"/>
      <c r="I77" s="62"/>
      <c r="J77" s="62"/>
    </row>
    <row r="78" spans="1:21" ht="15.75">
      <c r="A78" s="738"/>
      <c r="B78" s="738"/>
      <c r="C78" s="738"/>
      <c r="D78" s="62"/>
      <c r="E78" s="738"/>
      <c r="F78" s="61"/>
      <c r="G78" s="62"/>
      <c r="H78" s="62"/>
      <c r="I78" s="62"/>
      <c r="J78" s="62"/>
    </row>
    <row r="79" spans="1:21" ht="15.75">
      <c r="A79" s="738"/>
      <c r="B79" s="1163"/>
      <c r="C79" s="1163"/>
      <c r="D79" s="62"/>
      <c r="E79" s="1164"/>
      <c r="F79" s="1164"/>
      <c r="G79" s="62"/>
      <c r="H79" s="62"/>
      <c r="I79" s="62"/>
      <c r="J79" s="62"/>
    </row>
    <row r="80" spans="1:21" ht="15.75">
      <c r="A80" s="738"/>
      <c r="B80" s="738"/>
      <c r="C80" s="738"/>
      <c r="D80" s="62"/>
      <c r="E80" s="738"/>
      <c r="F80" s="61"/>
      <c r="G80" s="62"/>
      <c r="H80" s="62"/>
      <c r="I80" s="62"/>
      <c r="J80" s="62"/>
    </row>
    <row r="81" spans="1:10" ht="15.75">
      <c r="A81" s="738"/>
      <c r="B81" s="1163"/>
      <c r="C81" s="1163"/>
      <c r="D81" s="62"/>
      <c r="E81" s="1164"/>
      <c r="F81" s="1164"/>
      <c r="G81" s="62"/>
      <c r="H81" s="62"/>
      <c r="I81" s="62"/>
      <c r="J81" s="62"/>
    </row>
    <row r="82" spans="1:10" ht="15.75">
      <c r="A82" s="738"/>
      <c r="B82" s="738"/>
      <c r="C82" s="738"/>
      <c r="D82" s="62"/>
      <c r="E82" s="738"/>
      <c r="F82" s="61"/>
      <c r="G82" s="62"/>
      <c r="H82" s="62"/>
      <c r="I82" s="62"/>
      <c r="J82" s="62"/>
    </row>
    <row r="83" spans="1:10" ht="15.75">
      <c r="A83" s="738"/>
      <c r="B83" s="738"/>
      <c r="C83" s="738"/>
      <c r="D83" s="62"/>
      <c r="E83" s="738"/>
      <c r="F83" s="61"/>
      <c r="G83" s="62"/>
      <c r="H83" s="62"/>
      <c r="I83" s="62"/>
      <c r="J83" s="62"/>
    </row>
    <row r="84" spans="1:10" ht="15.75">
      <c r="A84" s="738"/>
      <c r="B84" s="1163"/>
      <c r="C84" s="1163"/>
      <c r="D84" s="62"/>
      <c r="E84" s="1164"/>
      <c r="F84" s="1164"/>
      <c r="G84" s="62"/>
      <c r="H84" s="62"/>
      <c r="I84" s="62"/>
      <c r="J84" s="62"/>
    </row>
    <row r="85" spans="1:10" ht="15.75">
      <c r="A85" s="738"/>
      <c r="B85" s="738"/>
      <c r="C85" s="738"/>
      <c r="D85" s="62"/>
      <c r="E85" s="738"/>
      <c r="F85" s="61"/>
      <c r="G85" s="62"/>
      <c r="H85" s="62"/>
      <c r="I85" s="62"/>
      <c r="J85" s="62"/>
    </row>
    <row r="86" spans="1:10" ht="15.75">
      <c r="A86" s="738"/>
      <c r="B86" s="1163"/>
      <c r="C86" s="1163"/>
      <c r="D86" s="62"/>
      <c r="E86" s="1164"/>
      <c r="F86" s="1164"/>
      <c r="G86" s="62"/>
      <c r="H86" s="62"/>
      <c r="I86" s="62"/>
      <c r="J86" s="62"/>
    </row>
    <row r="126" spans="11:11">
      <c r="K126" s="206">
        <v>0.1</v>
      </c>
    </row>
  </sheetData>
  <autoFilter ref="A1:J72" xr:uid="{00000000-0009-0000-0000-000005000000}">
    <filterColumn colId="6" showButton="0"/>
    <filterColumn colId="7" showButton="0"/>
    <filterColumn colId="8" showButton="0"/>
  </autoFilter>
  <customSheetViews>
    <customSheetView guid="{750F99BE-5C19-4848-A09A-0E4FD0F9F8FC}" scale="85" showAutoFilter="1" hiddenColumns="1">
      <selection activeCell="R71" sqref="R71"/>
      <pageMargins left="0.7" right="0.7" top="0.75" bottom="0.75" header="0.3" footer="0.3"/>
      <pageSetup paperSize="9" orientation="portrait" verticalDpi="0" r:id="rId1"/>
      <autoFilter ref="A1:J72" xr:uid="{5468712C-3AC6-4746-AD5F-BC232EFEB699}">
        <filterColumn colId="6" showButton="0"/>
        <filterColumn colId="7" showButton="0"/>
        <filterColumn colId="8" showButton="0"/>
      </autoFilter>
    </customSheetView>
    <customSheetView guid="{DEF9C65D-F8A0-4631-A6BF-69DD462E745F}" scale="85" showAutoFilter="1" hiddenColumns="1">
      <selection activeCell="R71" sqref="R71"/>
      <pageMargins left="0.7" right="0.7" top="0.75" bottom="0.75" header="0.3" footer="0.3"/>
      <pageSetup paperSize="9" orientation="portrait" verticalDpi="0" r:id="rId2"/>
      <autoFilter ref="A1:J72" xr:uid="{6E59D94A-E6C9-4FA3-9BAC-A8C00E6AA2B6}">
        <filterColumn colId="6" showButton="0"/>
        <filterColumn colId="7" showButton="0"/>
        <filterColumn colId="8" showButton="0"/>
      </autoFilter>
    </customSheetView>
    <customSheetView guid="{F53706EC-596C-4347-9C22-A701412B0A41}" scale="85" showAutoFilter="1" hiddenColumns="1">
      <selection activeCell="R71" sqref="R71"/>
      <pageMargins left="0.7" right="0.7" top="0.75" bottom="0.75" header="0.3" footer="0.3"/>
      <pageSetup paperSize="9" orientation="portrait" verticalDpi="0" r:id="rId3"/>
      <autoFilter ref="A1:J72" xr:uid="{FEC6D833-BBCD-4DA0-9BC1-1061CF0711DA}">
        <filterColumn colId="6" showButton="0"/>
        <filterColumn colId="7" showButton="0"/>
        <filterColumn colId="8" showButton="0"/>
      </autoFilter>
    </customSheetView>
    <customSheetView guid="{93AFD236-396B-4FF3-AB41-05714D8754DB}" scale="85" showAutoFilter="1" hiddenColumns="1">
      <selection activeCell="R71" sqref="R71"/>
      <pageMargins left="0.7" right="0.7" top="0.75" bottom="0.75" header="0.3" footer="0.3"/>
      <pageSetup paperSize="9" orientation="portrait" verticalDpi="0" r:id="rId4"/>
      <autoFilter ref="A1:J72" xr:uid="{C712E1AB-81BF-40A2-A47F-EC864102AC2C}">
        <filterColumn colId="6" showButton="0"/>
        <filterColumn colId="7" showButton="0"/>
        <filterColumn colId="8" showButton="0"/>
      </autoFilter>
    </customSheetView>
  </customSheetViews>
  <mergeCells count="31">
    <mergeCell ref="B86:C86"/>
    <mergeCell ref="E86:F86"/>
    <mergeCell ref="A72:J72"/>
    <mergeCell ref="G1:J1"/>
    <mergeCell ref="A1:A2"/>
    <mergeCell ref="B1:B2"/>
    <mergeCell ref="C1:C2"/>
    <mergeCell ref="D1:D2"/>
    <mergeCell ref="E1:E2"/>
    <mergeCell ref="F1:F2"/>
    <mergeCell ref="B79:C79"/>
    <mergeCell ref="E79:F79"/>
    <mergeCell ref="B81:C81"/>
    <mergeCell ref="E81:F81"/>
    <mergeCell ref="B84:C84"/>
    <mergeCell ref="E84:F84"/>
    <mergeCell ref="A3:Q3"/>
    <mergeCell ref="A73:J73"/>
    <mergeCell ref="B77:C77"/>
    <mergeCell ref="E77:F77"/>
    <mergeCell ref="P1:P2"/>
    <mergeCell ref="K1:K2"/>
    <mergeCell ref="L1:L2"/>
    <mergeCell ref="M1:M2"/>
    <mergeCell ref="N1:N2"/>
    <mergeCell ref="O1:O2"/>
    <mergeCell ref="R1:R2"/>
    <mergeCell ref="S1:S2"/>
    <mergeCell ref="T1:T2"/>
    <mergeCell ref="U1:U2"/>
    <mergeCell ref="Q1:Q2"/>
  </mergeCells>
  <pageMargins left="0.7" right="0.7" top="0.75" bottom="0.75" header="0.3" footer="0.3"/>
  <pageSetup paperSize="9" orientation="portrait" verticalDpi="0"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U75"/>
  <sheetViews>
    <sheetView topLeftCell="C1" zoomScale="70" zoomScaleNormal="70" workbookViewId="0">
      <selection activeCell="N1" sqref="N1:U1048576"/>
    </sheetView>
  </sheetViews>
  <sheetFormatPr defaultColWidth="76.5703125" defaultRowHeight="15"/>
  <cols>
    <col min="1" max="1" width="4.7109375" bestFit="1" customWidth="1"/>
    <col min="2" max="2" width="27.85546875" customWidth="1"/>
    <col min="3" max="3" width="92.85546875" customWidth="1"/>
    <col min="4" max="4" width="10.7109375" customWidth="1"/>
    <col min="5" max="5" width="10.5703125" customWidth="1"/>
    <col min="6" max="6" width="56.85546875" customWidth="1"/>
    <col min="7" max="8" width="8.85546875" hidden="1" customWidth="1"/>
    <col min="9" max="10" width="8.85546875" customWidth="1"/>
    <col min="11" max="11" width="18.28515625" hidden="1" customWidth="1"/>
    <col min="12" max="16" width="21.42578125" hidden="1" customWidth="1"/>
    <col min="17" max="17" width="22" style="20" hidden="1" customWidth="1"/>
    <col min="18" max="18" width="17.140625" style="167" hidden="1" customWidth="1"/>
    <col min="19" max="19" width="16.5703125" style="167" hidden="1" customWidth="1"/>
    <col min="20" max="20" width="9.42578125" hidden="1" customWidth="1"/>
    <col min="21" max="21" width="20.5703125" style="167" hidden="1" customWidth="1"/>
  </cols>
  <sheetData>
    <row r="1" spans="1:21" ht="18.75">
      <c r="A1" s="1151" t="s">
        <v>0</v>
      </c>
      <c r="B1" s="1152" t="s">
        <v>272</v>
      </c>
      <c r="C1" s="1173" t="s">
        <v>273</v>
      </c>
      <c r="D1" s="1165" t="s">
        <v>274</v>
      </c>
      <c r="E1" s="1152" t="s">
        <v>1</v>
      </c>
      <c r="F1" s="1154" t="s">
        <v>410</v>
      </c>
      <c r="G1" s="1165" t="s">
        <v>2</v>
      </c>
      <c r="H1" s="1165"/>
      <c r="I1" s="1165"/>
      <c r="J1" s="1165"/>
      <c r="K1" s="1159" t="s">
        <v>2881</v>
      </c>
      <c r="L1" s="1159" t="s">
        <v>2882</v>
      </c>
      <c r="M1" s="1159" t="s">
        <v>2883</v>
      </c>
      <c r="N1" s="1159" t="s">
        <v>2884</v>
      </c>
      <c r="O1" s="1159" t="s">
        <v>2885</v>
      </c>
      <c r="P1" s="1174" t="s">
        <v>2886</v>
      </c>
      <c r="Q1" s="1088" t="s">
        <v>4230</v>
      </c>
      <c r="R1" s="1119" t="s">
        <v>4700</v>
      </c>
      <c r="S1" s="1119" t="s">
        <v>4701</v>
      </c>
      <c r="T1" s="1119" t="s">
        <v>4702</v>
      </c>
      <c r="U1" s="1119" t="s">
        <v>2882</v>
      </c>
    </row>
    <row r="2" spans="1:21" ht="37.5">
      <c r="A2" s="1151"/>
      <c r="B2" s="1152"/>
      <c r="C2" s="1173"/>
      <c r="D2" s="1165"/>
      <c r="E2" s="1152"/>
      <c r="F2" s="1154"/>
      <c r="G2" s="227" t="s">
        <v>3</v>
      </c>
      <c r="H2" s="227" t="s">
        <v>4</v>
      </c>
      <c r="I2" s="227" t="s">
        <v>5</v>
      </c>
      <c r="J2" s="227" t="s">
        <v>6</v>
      </c>
      <c r="K2" s="1159"/>
      <c r="L2" s="1159"/>
      <c r="M2" s="1159"/>
      <c r="N2" s="1159"/>
      <c r="O2" s="1159"/>
      <c r="P2" s="1174"/>
      <c r="Q2" s="1089"/>
      <c r="R2" s="1119"/>
      <c r="S2" s="1119"/>
      <c r="T2" s="1119"/>
      <c r="U2" s="1119"/>
    </row>
    <row r="3" spans="1:21" ht="18.75">
      <c r="A3" s="1170" t="s">
        <v>411</v>
      </c>
      <c r="B3" s="1170"/>
      <c r="C3" s="1170"/>
      <c r="D3" s="1170"/>
      <c r="E3" s="1170"/>
      <c r="F3" s="1170"/>
      <c r="G3" s="1170"/>
      <c r="H3" s="1170"/>
      <c r="I3" s="1170"/>
      <c r="J3" s="1170"/>
      <c r="K3" s="207"/>
      <c r="L3" s="208"/>
      <c r="M3" s="208"/>
      <c r="N3" s="208"/>
      <c r="O3" s="208"/>
      <c r="P3" s="681"/>
      <c r="Q3" s="464"/>
      <c r="R3" s="884"/>
      <c r="S3" s="884"/>
      <c r="T3" s="383"/>
      <c r="U3" s="884"/>
    </row>
    <row r="4" spans="1:21" ht="94.5">
      <c r="A4" s="177">
        <v>1</v>
      </c>
      <c r="B4" s="74" t="s">
        <v>412</v>
      </c>
      <c r="C4" s="178" t="s">
        <v>413</v>
      </c>
      <c r="D4" s="71">
        <v>140</v>
      </c>
      <c r="E4" s="177" t="s">
        <v>414</v>
      </c>
      <c r="F4" s="81" t="s">
        <v>415</v>
      </c>
      <c r="G4" s="177">
        <v>20</v>
      </c>
      <c r="H4" s="177">
        <v>40</v>
      </c>
      <c r="I4" s="177">
        <v>40</v>
      </c>
      <c r="J4" s="177">
        <v>40</v>
      </c>
      <c r="K4" s="209">
        <v>32172587</v>
      </c>
      <c r="L4" s="210">
        <f>K4*D4</f>
        <v>4504162180</v>
      </c>
      <c r="M4" s="211">
        <f>K4*G4</f>
        <v>643451740</v>
      </c>
      <c r="N4" s="212">
        <f>K4*H4</f>
        <v>1286903480</v>
      </c>
      <c r="O4" s="213">
        <f>K4*I4</f>
        <v>1286903480</v>
      </c>
      <c r="P4" s="682">
        <f>K4*J4</f>
        <v>1286903480</v>
      </c>
      <c r="Q4" s="861" t="s">
        <v>4228</v>
      </c>
      <c r="R4" s="872" t="s">
        <v>4834</v>
      </c>
      <c r="S4" s="990">
        <v>30.99</v>
      </c>
      <c r="T4" s="927">
        <f>D4-S4</f>
        <v>109.01</v>
      </c>
      <c r="U4" s="848">
        <v>854952120</v>
      </c>
    </row>
    <row r="5" spans="1:21" ht="15.75">
      <c r="A5" s="177">
        <v>2</v>
      </c>
      <c r="B5" s="74" t="s">
        <v>416</v>
      </c>
      <c r="C5" s="178" t="s">
        <v>417</v>
      </c>
      <c r="D5" s="71">
        <v>2000</v>
      </c>
      <c r="E5" s="177" t="s">
        <v>372</v>
      </c>
      <c r="F5" s="81" t="s">
        <v>418</v>
      </c>
      <c r="G5" s="177"/>
      <c r="H5" s="177">
        <v>700</v>
      </c>
      <c r="I5" s="177">
        <v>700</v>
      </c>
      <c r="J5" s="177">
        <v>600</v>
      </c>
      <c r="K5" s="209">
        <v>128000</v>
      </c>
      <c r="L5" s="210">
        <f t="shared" ref="L5:L42" si="0">K5*D5</f>
        <v>256000000</v>
      </c>
      <c r="M5" s="211">
        <f t="shared" ref="M5:M64" si="1">K5*G5</f>
        <v>0</v>
      </c>
      <c r="N5" s="212">
        <f t="shared" ref="N5:N64" si="2">K5*H5</f>
        <v>89600000</v>
      </c>
      <c r="O5" s="213">
        <f t="shared" ref="O5:O64" si="3">K5*I5</f>
        <v>89600000</v>
      </c>
      <c r="P5" s="682">
        <f t="shared" ref="P5:P64" si="4">K5*J5</f>
        <v>76800000</v>
      </c>
      <c r="Q5" s="862" t="s">
        <v>4227</v>
      </c>
      <c r="R5" s="872"/>
      <c r="S5" s="990"/>
      <c r="T5" s="927">
        <f t="shared" ref="T5:T64" si="5">D5-S5</f>
        <v>2000</v>
      </c>
      <c r="U5" s="848"/>
    </row>
    <row r="6" spans="1:21" ht="31.5">
      <c r="A6" s="177">
        <v>3</v>
      </c>
      <c r="B6" s="74" t="s">
        <v>419</v>
      </c>
      <c r="C6" s="178" t="s">
        <v>420</v>
      </c>
      <c r="D6" s="71">
        <v>2500</v>
      </c>
      <c r="E6" s="177" t="s">
        <v>372</v>
      </c>
      <c r="F6" s="81" t="s">
        <v>418</v>
      </c>
      <c r="G6" s="178"/>
      <c r="H6" s="177">
        <v>1000</v>
      </c>
      <c r="I6" s="177">
        <v>1000</v>
      </c>
      <c r="J6" s="177">
        <v>500</v>
      </c>
      <c r="K6" s="209">
        <v>412000</v>
      </c>
      <c r="L6" s="210">
        <f t="shared" si="0"/>
        <v>1030000000</v>
      </c>
      <c r="M6" s="211">
        <f t="shared" si="1"/>
        <v>0</v>
      </c>
      <c r="N6" s="212">
        <f t="shared" si="2"/>
        <v>412000000</v>
      </c>
      <c r="O6" s="213">
        <f t="shared" si="3"/>
        <v>412000000</v>
      </c>
      <c r="P6" s="682">
        <f t="shared" si="4"/>
        <v>206000000</v>
      </c>
      <c r="Q6" s="862" t="s">
        <v>4227</v>
      </c>
      <c r="R6" s="872"/>
      <c r="S6" s="990"/>
      <c r="T6" s="927">
        <f t="shared" si="5"/>
        <v>2500</v>
      </c>
      <c r="U6" s="848"/>
    </row>
    <row r="7" spans="1:21" ht="63">
      <c r="A7" s="177">
        <v>4</v>
      </c>
      <c r="B7" s="73" t="s">
        <v>421</v>
      </c>
      <c r="C7" s="178" t="s">
        <v>422</v>
      </c>
      <c r="D7" s="71">
        <v>3</v>
      </c>
      <c r="E7" s="73" t="s">
        <v>89</v>
      </c>
      <c r="F7" s="81" t="s">
        <v>423</v>
      </c>
      <c r="G7" s="177">
        <v>0</v>
      </c>
      <c r="H7" s="177">
        <v>1</v>
      </c>
      <c r="I7" s="177">
        <v>1</v>
      </c>
      <c r="J7" s="177">
        <v>1</v>
      </c>
      <c r="K7" s="209">
        <v>31000000</v>
      </c>
      <c r="L7" s="210">
        <f t="shared" si="0"/>
        <v>93000000</v>
      </c>
      <c r="M7" s="211">
        <f t="shared" si="1"/>
        <v>0</v>
      </c>
      <c r="N7" s="212">
        <f t="shared" si="2"/>
        <v>31000000</v>
      </c>
      <c r="O7" s="213">
        <f t="shared" si="3"/>
        <v>31000000</v>
      </c>
      <c r="P7" s="682">
        <f t="shared" si="4"/>
        <v>31000000</v>
      </c>
      <c r="Q7" s="861" t="s">
        <v>4228</v>
      </c>
      <c r="R7" s="872"/>
      <c r="S7" s="990"/>
      <c r="T7" s="927">
        <f t="shared" si="5"/>
        <v>3</v>
      </c>
      <c r="U7" s="848"/>
    </row>
    <row r="8" spans="1:21" ht="31.5">
      <c r="A8" s="177">
        <v>5</v>
      </c>
      <c r="B8" s="73" t="s">
        <v>424</v>
      </c>
      <c r="C8" s="178" t="s">
        <v>425</v>
      </c>
      <c r="D8" s="71">
        <v>3</v>
      </c>
      <c r="E8" s="73" t="s">
        <v>89</v>
      </c>
      <c r="F8" s="81" t="s">
        <v>426</v>
      </c>
      <c r="G8" s="71">
        <v>0</v>
      </c>
      <c r="H8" s="71">
        <v>1</v>
      </c>
      <c r="I8" s="71">
        <v>1</v>
      </c>
      <c r="J8" s="71">
        <v>1</v>
      </c>
      <c r="K8" s="209">
        <v>7338118</v>
      </c>
      <c r="L8" s="210">
        <f t="shared" si="0"/>
        <v>22014354</v>
      </c>
      <c r="M8" s="211">
        <f t="shared" si="1"/>
        <v>0</v>
      </c>
      <c r="N8" s="212">
        <f t="shared" si="2"/>
        <v>7338118</v>
      </c>
      <c r="O8" s="213">
        <f t="shared" si="3"/>
        <v>7338118</v>
      </c>
      <c r="P8" s="682">
        <f t="shared" si="4"/>
        <v>7338118</v>
      </c>
      <c r="Q8" s="861" t="s">
        <v>4228</v>
      </c>
      <c r="R8" s="872"/>
      <c r="S8" s="990"/>
      <c r="T8" s="927">
        <f t="shared" si="5"/>
        <v>3</v>
      </c>
      <c r="U8" s="848"/>
    </row>
    <row r="9" spans="1:21" ht="47.25">
      <c r="A9" s="177">
        <v>6</v>
      </c>
      <c r="B9" s="74" t="s">
        <v>427</v>
      </c>
      <c r="C9" s="178" t="s">
        <v>428</v>
      </c>
      <c r="D9" s="71">
        <v>3</v>
      </c>
      <c r="E9" s="177" t="s">
        <v>89</v>
      </c>
      <c r="F9" s="81" t="s">
        <v>429</v>
      </c>
      <c r="G9" s="71">
        <v>0</v>
      </c>
      <c r="H9" s="71">
        <v>1</v>
      </c>
      <c r="I9" s="71">
        <v>1</v>
      </c>
      <c r="J9" s="71">
        <v>1</v>
      </c>
      <c r="K9" s="209">
        <v>36900000</v>
      </c>
      <c r="L9" s="210">
        <f t="shared" si="0"/>
        <v>110700000</v>
      </c>
      <c r="M9" s="211">
        <f t="shared" si="1"/>
        <v>0</v>
      </c>
      <c r="N9" s="212">
        <f t="shared" si="2"/>
        <v>36900000</v>
      </c>
      <c r="O9" s="213">
        <f t="shared" si="3"/>
        <v>36900000</v>
      </c>
      <c r="P9" s="682">
        <f t="shared" si="4"/>
        <v>36900000</v>
      </c>
      <c r="Q9" s="861" t="s">
        <v>4228</v>
      </c>
      <c r="R9" s="872" t="s">
        <v>4835</v>
      </c>
      <c r="S9" s="990">
        <v>0.5</v>
      </c>
      <c r="T9" s="927">
        <f t="shared" si="5"/>
        <v>2.5</v>
      </c>
      <c r="U9" s="848">
        <v>19950000</v>
      </c>
    </row>
    <row r="10" spans="1:21" ht="78.75">
      <c r="A10" s="177">
        <v>7</v>
      </c>
      <c r="B10" s="74" t="s">
        <v>430</v>
      </c>
      <c r="C10" s="178" t="s">
        <v>431</v>
      </c>
      <c r="D10" s="71">
        <f>G10+H10+I10+J10</f>
        <v>85000</v>
      </c>
      <c r="E10" s="74" t="s">
        <v>432</v>
      </c>
      <c r="F10" s="81" t="s">
        <v>433</v>
      </c>
      <c r="G10" s="71">
        <v>20000</v>
      </c>
      <c r="H10" s="71">
        <v>25000</v>
      </c>
      <c r="I10" s="71">
        <v>25000</v>
      </c>
      <c r="J10" s="71">
        <v>15000</v>
      </c>
      <c r="K10" s="209">
        <v>1908</v>
      </c>
      <c r="L10" s="210">
        <f t="shared" si="0"/>
        <v>162180000</v>
      </c>
      <c r="M10" s="211">
        <f t="shared" si="1"/>
        <v>38160000</v>
      </c>
      <c r="N10" s="212">
        <f t="shared" si="2"/>
        <v>47700000</v>
      </c>
      <c r="O10" s="213">
        <f t="shared" si="3"/>
        <v>47700000</v>
      </c>
      <c r="P10" s="682">
        <f t="shared" si="4"/>
        <v>28620000</v>
      </c>
      <c r="Q10" s="862" t="s">
        <v>4227</v>
      </c>
      <c r="R10" s="872" t="s">
        <v>4836</v>
      </c>
      <c r="S10" s="990">
        <v>45000</v>
      </c>
      <c r="T10" s="927">
        <f t="shared" si="5"/>
        <v>40000</v>
      </c>
      <c r="U10" s="848">
        <v>90417600</v>
      </c>
    </row>
    <row r="11" spans="1:21" ht="94.5">
      <c r="A11" s="177">
        <v>8</v>
      </c>
      <c r="B11" s="74" t="s">
        <v>434</v>
      </c>
      <c r="C11" s="178" t="s">
        <v>435</v>
      </c>
      <c r="D11" s="71">
        <f>G11+H11+I11+J11</f>
        <v>600</v>
      </c>
      <c r="E11" s="177" t="s">
        <v>432</v>
      </c>
      <c r="F11" s="81" t="s">
        <v>436</v>
      </c>
      <c r="G11" s="177"/>
      <c r="H11" s="177">
        <v>200</v>
      </c>
      <c r="I11" s="177">
        <v>200</v>
      </c>
      <c r="J11" s="177">
        <v>200</v>
      </c>
      <c r="K11" s="209">
        <v>418880</v>
      </c>
      <c r="L11" s="210">
        <f t="shared" si="0"/>
        <v>251328000</v>
      </c>
      <c r="M11" s="211">
        <f t="shared" si="1"/>
        <v>0</v>
      </c>
      <c r="N11" s="212">
        <f t="shared" si="2"/>
        <v>83776000</v>
      </c>
      <c r="O11" s="213">
        <f t="shared" si="3"/>
        <v>83776000</v>
      </c>
      <c r="P11" s="682">
        <f t="shared" si="4"/>
        <v>83776000</v>
      </c>
      <c r="Q11" s="862" t="s">
        <v>4227</v>
      </c>
      <c r="R11" s="872"/>
      <c r="S11" s="990"/>
      <c r="T11" s="927">
        <f t="shared" si="5"/>
        <v>600</v>
      </c>
      <c r="U11" s="848"/>
    </row>
    <row r="12" spans="1:21" ht="236.25">
      <c r="A12" s="177">
        <v>9</v>
      </c>
      <c r="B12" s="74" t="s">
        <v>437</v>
      </c>
      <c r="C12" s="178" t="s">
        <v>438</v>
      </c>
      <c r="D12" s="71">
        <f>G12+H12+I12+J12</f>
        <v>1200</v>
      </c>
      <c r="E12" s="74" t="s">
        <v>27</v>
      </c>
      <c r="F12" s="81" t="s">
        <v>439</v>
      </c>
      <c r="G12" s="177">
        <v>200</v>
      </c>
      <c r="H12" s="177">
        <v>400</v>
      </c>
      <c r="I12" s="177">
        <v>400</v>
      </c>
      <c r="J12" s="177">
        <v>200</v>
      </c>
      <c r="K12" s="209">
        <v>54561</v>
      </c>
      <c r="L12" s="210">
        <f t="shared" si="0"/>
        <v>65473200</v>
      </c>
      <c r="M12" s="211">
        <f t="shared" si="1"/>
        <v>10912200</v>
      </c>
      <c r="N12" s="212">
        <f t="shared" si="2"/>
        <v>21824400</v>
      </c>
      <c r="O12" s="213">
        <f t="shared" si="3"/>
        <v>21824400</v>
      </c>
      <c r="P12" s="682">
        <f t="shared" si="4"/>
        <v>10912200</v>
      </c>
      <c r="Q12" s="862" t="s">
        <v>4227</v>
      </c>
      <c r="R12" s="872"/>
      <c r="S12" s="990"/>
      <c r="T12" s="927">
        <f t="shared" si="5"/>
        <v>1200</v>
      </c>
      <c r="U12" s="848"/>
    </row>
    <row r="13" spans="1:21" ht="110.25">
      <c r="A13" s="177">
        <v>10</v>
      </c>
      <c r="B13" s="74" t="s">
        <v>440</v>
      </c>
      <c r="C13" s="178" t="s">
        <v>441</v>
      </c>
      <c r="D13" s="71">
        <f>G13+H13+I13+J13</f>
        <v>400</v>
      </c>
      <c r="E13" s="177" t="s">
        <v>372</v>
      </c>
      <c r="F13" s="81" t="s">
        <v>442</v>
      </c>
      <c r="G13" s="177"/>
      <c r="H13" s="177">
        <v>200</v>
      </c>
      <c r="I13" s="177">
        <v>200</v>
      </c>
      <c r="J13" s="177"/>
      <c r="K13" s="209">
        <v>183425</v>
      </c>
      <c r="L13" s="210">
        <f t="shared" si="0"/>
        <v>73370000</v>
      </c>
      <c r="M13" s="211">
        <f t="shared" si="1"/>
        <v>0</v>
      </c>
      <c r="N13" s="212">
        <f t="shared" si="2"/>
        <v>36685000</v>
      </c>
      <c r="O13" s="213">
        <f t="shared" si="3"/>
        <v>36685000</v>
      </c>
      <c r="P13" s="682">
        <f t="shared" si="4"/>
        <v>0</v>
      </c>
      <c r="Q13" s="862" t="s">
        <v>4227</v>
      </c>
      <c r="R13" s="872" t="s">
        <v>4837</v>
      </c>
      <c r="S13" s="990">
        <v>400</v>
      </c>
      <c r="T13" s="927">
        <f t="shared" si="5"/>
        <v>0</v>
      </c>
      <c r="U13" s="848">
        <v>76704800</v>
      </c>
    </row>
    <row r="14" spans="1:21" ht="126">
      <c r="A14" s="177">
        <v>11</v>
      </c>
      <c r="B14" s="74" t="s">
        <v>443</v>
      </c>
      <c r="C14" s="178" t="s">
        <v>444</v>
      </c>
      <c r="D14" s="71">
        <f>G14+H14+I14+J14</f>
        <v>400</v>
      </c>
      <c r="E14" s="177" t="s">
        <v>372</v>
      </c>
      <c r="F14" s="81" t="s">
        <v>442</v>
      </c>
      <c r="G14" s="177"/>
      <c r="H14" s="177">
        <v>200</v>
      </c>
      <c r="I14" s="177">
        <v>200</v>
      </c>
      <c r="J14" s="177"/>
      <c r="K14" s="209">
        <v>140635</v>
      </c>
      <c r="L14" s="210">
        <f t="shared" si="0"/>
        <v>56254000</v>
      </c>
      <c r="M14" s="211">
        <f t="shared" si="1"/>
        <v>0</v>
      </c>
      <c r="N14" s="212">
        <f t="shared" si="2"/>
        <v>28127000</v>
      </c>
      <c r="O14" s="213">
        <f t="shared" si="3"/>
        <v>28127000</v>
      </c>
      <c r="P14" s="682">
        <f t="shared" si="4"/>
        <v>0</v>
      </c>
      <c r="Q14" s="862" t="s">
        <v>4227</v>
      </c>
      <c r="R14" s="872" t="s">
        <v>4838</v>
      </c>
      <c r="S14" s="990">
        <v>400</v>
      </c>
      <c r="T14" s="927">
        <f t="shared" si="5"/>
        <v>0</v>
      </c>
      <c r="U14" s="848">
        <v>59322400</v>
      </c>
    </row>
    <row r="15" spans="1:21" ht="110.25">
      <c r="A15" s="177">
        <v>12</v>
      </c>
      <c r="B15" s="74" t="s">
        <v>445</v>
      </c>
      <c r="C15" s="178" t="s">
        <v>446</v>
      </c>
      <c r="D15" s="71">
        <f t="shared" ref="D15:D42" si="6">G15+H15+I15+J15</f>
        <v>400</v>
      </c>
      <c r="E15" s="177" t="s">
        <v>372</v>
      </c>
      <c r="F15" s="81" t="s">
        <v>442</v>
      </c>
      <c r="G15" s="177"/>
      <c r="H15" s="177">
        <v>200</v>
      </c>
      <c r="I15" s="177">
        <v>200</v>
      </c>
      <c r="J15" s="177"/>
      <c r="K15" s="209">
        <v>100567</v>
      </c>
      <c r="L15" s="210">
        <f t="shared" si="0"/>
        <v>40226800</v>
      </c>
      <c r="M15" s="211">
        <f t="shared" si="1"/>
        <v>0</v>
      </c>
      <c r="N15" s="212">
        <f t="shared" si="2"/>
        <v>20113400</v>
      </c>
      <c r="O15" s="213">
        <f t="shared" si="3"/>
        <v>20113400</v>
      </c>
      <c r="P15" s="682">
        <f t="shared" si="4"/>
        <v>0</v>
      </c>
      <c r="Q15" s="862" t="s">
        <v>4227</v>
      </c>
      <c r="R15" s="872" t="s">
        <v>4839</v>
      </c>
      <c r="S15" s="990">
        <v>400</v>
      </c>
      <c r="T15" s="927">
        <f t="shared" si="5"/>
        <v>0</v>
      </c>
      <c r="U15" s="848">
        <v>42786800</v>
      </c>
    </row>
    <row r="16" spans="1:21" ht="31.5">
      <c r="A16" s="177">
        <v>13</v>
      </c>
      <c r="B16" s="74" t="s">
        <v>447</v>
      </c>
      <c r="C16" s="178" t="s">
        <v>448</v>
      </c>
      <c r="D16" s="421">
        <v>3000</v>
      </c>
      <c r="E16" s="74" t="s">
        <v>286</v>
      </c>
      <c r="F16" s="81" t="s">
        <v>449</v>
      </c>
      <c r="G16" s="178">
        <v>500</v>
      </c>
      <c r="H16" s="178">
        <v>1000</v>
      </c>
      <c r="I16" s="178">
        <v>1000</v>
      </c>
      <c r="J16" s="178">
        <v>500</v>
      </c>
      <c r="K16" s="209">
        <v>705375</v>
      </c>
      <c r="L16" s="210">
        <f t="shared" si="0"/>
        <v>2116125000</v>
      </c>
      <c r="M16" s="211">
        <f t="shared" si="1"/>
        <v>352687500</v>
      </c>
      <c r="N16" s="212">
        <f t="shared" si="2"/>
        <v>705375000</v>
      </c>
      <c r="O16" s="213">
        <f t="shared" si="3"/>
        <v>705375000</v>
      </c>
      <c r="P16" s="682">
        <f t="shared" si="4"/>
        <v>352687500</v>
      </c>
      <c r="Q16" s="862" t="s">
        <v>4227</v>
      </c>
      <c r="R16" s="872" t="s">
        <v>4840</v>
      </c>
      <c r="S16" s="990">
        <v>500</v>
      </c>
      <c r="T16" s="927">
        <f t="shared" si="5"/>
        <v>2500</v>
      </c>
      <c r="U16" s="848">
        <v>492150005</v>
      </c>
    </row>
    <row r="17" spans="1:21" ht="15.75">
      <c r="A17" s="177">
        <v>14</v>
      </c>
      <c r="B17" s="113" t="s">
        <v>450</v>
      </c>
      <c r="C17" s="114" t="s">
        <v>451</v>
      </c>
      <c r="D17" s="71">
        <f t="shared" si="6"/>
        <v>40</v>
      </c>
      <c r="E17" s="74" t="s">
        <v>385</v>
      </c>
      <c r="F17" s="81" t="s">
        <v>452</v>
      </c>
      <c r="G17" s="177"/>
      <c r="H17" s="177">
        <v>20</v>
      </c>
      <c r="I17" s="177">
        <v>20</v>
      </c>
      <c r="J17" s="177"/>
      <c r="K17" s="209">
        <v>5913600</v>
      </c>
      <c r="L17" s="210">
        <f t="shared" si="0"/>
        <v>236544000</v>
      </c>
      <c r="M17" s="211">
        <f t="shared" si="1"/>
        <v>0</v>
      </c>
      <c r="N17" s="212">
        <f t="shared" si="2"/>
        <v>118272000</v>
      </c>
      <c r="O17" s="213">
        <f t="shared" si="3"/>
        <v>118272000</v>
      </c>
      <c r="P17" s="682">
        <f t="shared" si="4"/>
        <v>0</v>
      </c>
      <c r="Q17" s="862" t="s">
        <v>4227</v>
      </c>
      <c r="R17" s="872"/>
      <c r="S17" s="990"/>
      <c r="T17" s="927">
        <f t="shared" si="5"/>
        <v>40</v>
      </c>
      <c r="U17" s="848"/>
    </row>
    <row r="18" spans="1:21" ht="126">
      <c r="A18" s="177">
        <v>15</v>
      </c>
      <c r="B18" s="73" t="s">
        <v>453</v>
      </c>
      <c r="C18" s="178" t="s">
        <v>454</v>
      </c>
      <c r="D18" s="504">
        <v>100</v>
      </c>
      <c r="E18" s="177" t="s">
        <v>89</v>
      </c>
      <c r="F18" s="81" t="s">
        <v>455</v>
      </c>
      <c r="G18" s="177">
        <v>20</v>
      </c>
      <c r="H18" s="177">
        <v>20</v>
      </c>
      <c r="I18" s="177">
        <v>40</v>
      </c>
      <c r="J18" s="177">
        <v>20</v>
      </c>
      <c r="K18" s="209">
        <v>42871400</v>
      </c>
      <c r="L18" s="210">
        <f t="shared" si="0"/>
        <v>4287140000</v>
      </c>
      <c r="M18" s="211">
        <f t="shared" si="1"/>
        <v>857428000</v>
      </c>
      <c r="N18" s="212">
        <f t="shared" si="2"/>
        <v>857428000</v>
      </c>
      <c r="O18" s="213">
        <f t="shared" si="3"/>
        <v>1714856000</v>
      </c>
      <c r="P18" s="682">
        <f t="shared" si="4"/>
        <v>857428000</v>
      </c>
      <c r="Q18" s="861" t="s">
        <v>4228</v>
      </c>
      <c r="R18" s="872" t="s">
        <v>4841</v>
      </c>
      <c r="S18" s="990">
        <v>39.54</v>
      </c>
      <c r="T18" s="927">
        <f t="shared" si="5"/>
        <v>60.46</v>
      </c>
      <c r="U18" s="848">
        <v>1394837400</v>
      </c>
    </row>
    <row r="19" spans="1:21" ht="78.75">
      <c r="A19" s="177">
        <v>16</v>
      </c>
      <c r="B19" s="74" t="s">
        <v>456</v>
      </c>
      <c r="C19" s="178" t="s">
        <v>457</v>
      </c>
      <c r="D19" s="71">
        <f t="shared" si="6"/>
        <v>16000</v>
      </c>
      <c r="E19" s="73" t="s">
        <v>286</v>
      </c>
      <c r="F19" s="81" t="s">
        <v>458</v>
      </c>
      <c r="G19" s="71"/>
      <c r="H19" s="71">
        <v>6000</v>
      </c>
      <c r="I19" s="71">
        <v>6000</v>
      </c>
      <c r="J19" s="71">
        <v>4000</v>
      </c>
      <c r="K19" s="209">
        <v>98000</v>
      </c>
      <c r="L19" s="210">
        <f t="shared" si="0"/>
        <v>1568000000</v>
      </c>
      <c r="M19" s="211">
        <f t="shared" si="1"/>
        <v>0</v>
      </c>
      <c r="N19" s="212">
        <f t="shared" si="2"/>
        <v>588000000</v>
      </c>
      <c r="O19" s="213">
        <f t="shared" si="3"/>
        <v>588000000</v>
      </c>
      <c r="P19" s="682">
        <f t="shared" si="4"/>
        <v>392000000</v>
      </c>
      <c r="Q19" s="862" t="s">
        <v>4227</v>
      </c>
      <c r="R19" s="872" t="s">
        <v>4842</v>
      </c>
      <c r="S19" s="990">
        <v>5500</v>
      </c>
      <c r="T19" s="927">
        <f t="shared" si="5"/>
        <v>10500</v>
      </c>
      <c r="U19" s="848">
        <v>495000000</v>
      </c>
    </row>
    <row r="20" spans="1:21" ht="141.75">
      <c r="A20" s="177">
        <v>17</v>
      </c>
      <c r="B20" s="74" t="s">
        <v>459</v>
      </c>
      <c r="C20" s="178" t="s">
        <v>460</v>
      </c>
      <c r="D20" s="71">
        <f t="shared" si="6"/>
        <v>200</v>
      </c>
      <c r="E20" s="73" t="s">
        <v>286</v>
      </c>
      <c r="F20" s="81" t="s">
        <v>461</v>
      </c>
      <c r="G20" s="115">
        <v>100</v>
      </c>
      <c r="H20" s="115">
        <v>100</v>
      </c>
      <c r="I20" s="115"/>
      <c r="J20" s="115"/>
      <c r="K20" s="209">
        <v>1980000</v>
      </c>
      <c r="L20" s="210">
        <f t="shared" si="0"/>
        <v>396000000</v>
      </c>
      <c r="M20" s="211">
        <f t="shared" si="1"/>
        <v>198000000</v>
      </c>
      <c r="N20" s="212">
        <f t="shared" si="2"/>
        <v>198000000</v>
      </c>
      <c r="O20" s="213">
        <f t="shared" si="3"/>
        <v>0</v>
      </c>
      <c r="P20" s="682">
        <f t="shared" si="4"/>
        <v>0</v>
      </c>
      <c r="Q20" s="861" t="s">
        <v>4228</v>
      </c>
      <c r="R20" s="872"/>
      <c r="S20" s="990"/>
      <c r="T20" s="927">
        <f t="shared" si="5"/>
        <v>200</v>
      </c>
      <c r="U20" s="848"/>
    </row>
    <row r="21" spans="1:21" ht="315">
      <c r="A21" s="177">
        <v>18</v>
      </c>
      <c r="B21" s="74" t="s">
        <v>462</v>
      </c>
      <c r="C21" s="178" t="s">
        <v>463</v>
      </c>
      <c r="D21" s="71">
        <f t="shared" si="6"/>
        <v>6</v>
      </c>
      <c r="E21" s="74" t="s">
        <v>464</v>
      </c>
      <c r="F21" s="81" t="s">
        <v>465</v>
      </c>
      <c r="G21" s="177">
        <v>6</v>
      </c>
      <c r="H21" s="177"/>
      <c r="I21" s="177"/>
      <c r="J21" s="177"/>
      <c r="K21" s="209">
        <v>22750000</v>
      </c>
      <c r="L21" s="210">
        <f t="shared" si="0"/>
        <v>136500000</v>
      </c>
      <c r="M21" s="211">
        <f t="shared" si="1"/>
        <v>136500000</v>
      </c>
      <c r="N21" s="212">
        <f t="shared" si="2"/>
        <v>0</v>
      </c>
      <c r="O21" s="213">
        <f t="shared" si="3"/>
        <v>0</v>
      </c>
      <c r="P21" s="682">
        <f t="shared" si="4"/>
        <v>0</v>
      </c>
      <c r="Q21" s="861" t="s">
        <v>4228</v>
      </c>
      <c r="R21" s="872"/>
      <c r="S21" s="990"/>
      <c r="T21" s="927">
        <f t="shared" si="5"/>
        <v>6</v>
      </c>
      <c r="U21" s="848"/>
    </row>
    <row r="22" spans="1:21" ht="15.75">
      <c r="A22" s="177">
        <v>19</v>
      </c>
      <c r="B22" s="177" t="s">
        <v>466</v>
      </c>
      <c r="C22" s="178" t="s">
        <v>467</v>
      </c>
      <c r="D22" s="71">
        <f t="shared" si="6"/>
        <v>10</v>
      </c>
      <c r="E22" s="177" t="s">
        <v>314</v>
      </c>
      <c r="F22" s="81" t="s">
        <v>468</v>
      </c>
      <c r="G22" s="177"/>
      <c r="H22" s="177">
        <v>10</v>
      </c>
      <c r="I22" s="177"/>
      <c r="J22" s="177"/>
      <c r="K22" s="209">
        <v>10150000</v>
      </c>
      <c r="L22" s="210">
        <f t="shared" si="0"/>
        <v>101500000</v>
      </c>
      <c r="M22" s="211">
        <f t="shared" si="1"/>
        <v>0</v>
      </c>
      <c r="N22" s="212">
        <f t="shared" si="2"/>
        <v>101500000</v>
      </c>
      <c r="O22" s="213">
        <f t="shared" si="3"/>
        <v>0</v>
      </c>
      <c r="P22" s="682">
        <f t="shared" si="4"/>
        <v>0</v>
      </c>
      <c r="Q22" s="861" t="s">
        <v>4228</v>
      </c>
      <c r="R22" s="872"/>
      <c r="S22" s="990"/>
      <c r="T22" s="927">
        <f t="shared" si="5"/>
        <v>10</v>
      </c>
      <c r="U22" s="848"/>
    </row>
    <row r="23" spans="1:21" ht="378">
      <c r="A23" s="177">
        <v>20</v>
      </c>
      <c r="B23" s="73" t="s">
        <v>469</v>
      </c>
      <c r="C23" s="178" t="s">
        <v>470</v>
      </c>
      <c r="D23" s="71">
        <f t="shared" si="6"/>
        <v>10</v>
      </c>
      <c r="E23" s="73" t="s">
        <v>286</v>
      </c>
      <c r="F23" s="81" t="s">
        <v>471</v>
      </c>
      <c r="G23" s="177">
        <v>5</v>
      </c>
      <c r="H23" s="177">
        <v>5</v>
      </c>
      <c r="I23" s="177"/>
      <c r="J23" s="177"/>
      <c r="K23" s="209">
        <v>14800000</v>
      </c>
      <c r="L23" s="210">
        <f t="shared" si="0"/>
        <v>148000000</v>
      </c>
      <c r="M23" s="211">
        <f t="shared" si="1"/>
        <v>74000000</v>
      </c>
      <c r="N23" s="212">
        <f t="shared" si="2"/>
        <v>74000000</v>
      </c>
      <c r="O23" s="213">
        <f t="shared" si="3"/>
        <v>0</v>
      </c>
      <c r="P23" s="682">
        <f t="shared" si="4"/>
        <v>0</v>
      </c>
      <c r="Q23" s="862" t="s">
        <v>4227</v>
      </c>
      <c r="R23" s="872"/>
      <c r="S23" s="990"/>
      <c r="T23" s="927">
        <f t="shared" si="5"/>
        <v>10</v>
      </c>
      <c r="U23" s="848"/>
    </row>
    <row r="24" spans="1:21" ht="189">
      <c r="A24" s="177">
        <v>21</v>
      </c>
      <c r="B24" s="178" t="s">
        <v>472</v>
      </c>
      <c r="C24" s="178" t="s">
        <v>473</v>
      </c>
      <c r="D24" s="71">
        <f t="shared" si="6"/>
        <v>10</v>
      </c>
      <c r="E24" s="73" t="s">
        <v>286</v>
      </c>
      <c r="F24" s="81" t="s">
        <v>474</v>
      </c>
      <c r="G24" s="177">
        <v>4</v>
      </c>
      <c r="H24" s="177">
        <v>4</v>
      </c>
      <c r="I24" s="177">
        <v>2</v>
      </c>
      <c r="J24" s="177"/>
      <c r="K24" s="209">
        <v>51000000</v>
      </c>
      <c r="L24" s="210">
        <f>K24*D24</f>
        <v>510000000</v>
      </c>
      <c r="M24" s="211">
        <f t="shared" si="1"/>
        <v>204000000</v>
      </c>
      <c r="N24" s="212">
        <f t="shared" si="2"/>
        <v>204000000</v>
      </c>
      <c r="O24" s="213">
        <f t="shared" si="3"/>
        <v>102000000</v>
      </c>
      <c r="P24" s="682">
        <f t="shared" si="4"/>
        <v>0</v>
      </c>
      <c r="Q24" s="861" t="s">
        <v>4228</v>
      </c>
      <c r="R24" s="872" t="s">
        <v>4759</v>
      </c>
      <c r="S24" s="990">
        <v>6</v>
      </c>
      <c r="T24" s="927">
        <f t="shared" si="5"/>
        <v>4</v>
      </c>
      <c r="U24" s="848">
        <v>280440000</v>
      </c>
    </row>
    <row r="25" spans="1:21" ht="63">
      <c r="A25" s="177">
        <v>22</v>
      </c>
      <c r="B25" s="178" t="s">
        <v>475</v>
      </c>
      <c r="C25" s="116" t="s">
        <v>476</v>
      </c>
      <c r="D25" s="71">
        <f t="shared" si="6"/>
        <v>5</v>
      </c>
      <c r="E25" s="73" t="s">
        <v>286</v>
      </c>
      <c r="F25" s="81" t="s">
        <v>477</v>
      </c>
      <c r="G25" s="177">
        <v>2</v>
      </c>
      <c r="H25" s="177">
        <v>3</v>
      </c>
      <c r="I25" s="177"/>
      <c r="J25" s="177"/>
      <c r="K25" s="209">
        <v>1837000</v>
      </c>
      <c r="L25" s="210">
        <f t="shared" si="0"/>
        <v>9185000</v>
      </c>
      <c r="M25" s="211">
        <f t="shared" si="1"/>
        <v>3674000</v>
      </c>
      <c r="N25" s="212">
        <f t="shared" si="2"/>
        <v>5511000</v>
      </c>
      <c r="O25" s="213">
        <f t="shared" si="3"/>
        <v>0</v>
      </c>
      <c r="P25" s="682">
        <f t="shared" si="4"/>
        <v>0</v>
      </c>
      <c r="Q25" s="862" t="s">
        <v>4227</v>
      </c>
      <c r="R25" s="872"/>
      <c r="S25" s="990"/>
      <c r="T25" s="927">
        <f t="shared" si="5"/>
        <v>5</v>
      </c>
      <c r="U25" s="848"/>
    </row>
    <row r="26" spans="1:21" ht="63">
      <c r="A26" s="177">
        <v>23</v>
      </c>
      <c r="B26" s="178" t="s">
        <v>478</v>
      </c>
      <c r="C26" s="116" t="s">
        <v>479</v>
      </c>
      <c r="D26" s="71">
        <f t="shared" si="6"/>
        <v>80</v>
      </c>
      <c r="E26" s="73" t="s">
        <v>286</v>
      </c>
      <c r="F26" s="81" t="s">
        <v>480</v>
      </c>
      <c r="G26" s="177">
        <v>30</v>
      </c>
      <c r="H26" s="177">
        <v>50</v>
      </c>
      <c r="I26" s="177"/>
      <c r="J26" s="177"/>
      <c r="K26" s="209">
        <v>96250</v>
      </c>
      <c r="L26" s="210">
        <f t="shared" si="0"/>
        <v>7700000</v>
      </c>
      <c r="M26" s="211">
        <f t="shared" si="1"/>
        <v>2887500</v>
      </c>
      <c r="N26" s="212">
        <f t="shared" si="2"/>
        <v>4812500</v>
      </c>
      <c r="O26" s="213">
        <f t="shared" si="3"/>
        <v>0</v>
      </c>
      <c r="P26" s="682">
        <f t="shared" si="4"/>
        <v>0</v>
      </c>
      <c r="Q26" s="862" t="s">
        <v>4227</v>
      </c>
      <c r="R26" s="872"/>
      <c r="S26" s="990"/>
      <c r="T26" s="927">
        <f t="shared" si="5"/>
        <v>80</v>
      </c>
      <c r="U26" s="848"/>
    </row>
    <row r="27" spans="1:21" ht="47.25">
      <c r="A27" s="177">
        <v>24</v>
      </c>
      <c r="B27" s="177" t="s">
        <v>481</v>
      </c>
      <c r="C27" s="178" t="s">
        <v>482</v>
      </c>
      <c r="D27" s="71">
        <f t="shared" si="6"/>
        <v>8</v>
      </c>
      <c r="E27" s="73" t="s">
        <v>286</v>
      </c>
      <c r="F27" s="81" t="s">
        <v>483</v>
      </c>
      <c r="G27" s="177">
        <v>8</v>
      </c>
      <c r="H27" s="177"/>
      <c r="I27" s="177"/>
      <c r="J27" s="177"/>
      <c r="K27" s="209">
        <v>6511120</v>
      </c>
      <c r="L27" s="210">
        <f t="shared" si="0"/>
        <v>52088960</v>
      </c>
      <c r="M27" s="211">
        <f t="shared" si="1"/>
        <v>52088960</v>
      </c>
      <c r="N27" s="212">
        <f t="shared" si="2"/>
        <v>0</v>
      </c>
      <c r="O27" s="213">
        <f t="shared" si="3"/>
        <v>0</v>
      </c>
      <c r="P27" s="682">
        <f t="shared" si="4"/>
        <v>0</v>
      </c>
      <c r="Q27" s="861" t="s">
        <v>4228</v>
      </c>
      <c r="R27" s="872"/>
      <c r="S27" s="990"/>
      <c r="T27" s="927">
        <f t="shared" si="5"/>
        <v>8</v>
      </c>
      <c r="U27" s="848"/>
    </row>
    <row r="28" spans="1:21" ht="157.5">
      <c r="A28" s="177">
        <v>25</v>
      </c>
      <c r="B28" s="177" t="s">
        <v>484</v>
      </c>
      <c r="C28" s="178" t="s">
        <v>485</v>
      </c>
      <c r="D28" s="71">
        <f t="shared" si="6"/>
        <v>10</v>
      </c>
      <c r="E28" s="73" t="s">
        <v>286</v>
      </c>
      <c r="F28" s="81" t="s">
        <v>486</v>
      </c>
      <c r="G28" s="177">
        <v>10</v>
      </c>
      <c r="H28" s="177"/>
      <c r="I28" s="177"/>
      <c r="J28" s="177"/>
      <c r="K28" s="209">
        <v>1223530</v>
      </c>
      <c r="L28" s="210">
        <f t="shared" si="0"/>
        <v>12235300</v>
      </c>
      <c r="M28" s="211">
        <f t="shared" si="1"/>
        <v>12235300</v>
      </c>
      <c r="N28" s="212">
        <f t="shared" si="2"/>
        <v>0</v>
      </c>
      <c r="O28" s="213">
        <f t="shared" si="3"/>
        <v>0</v>
      </c>
      <c r="P28" s="682">
        <f t="shared" si="4"/>
        <v>0</v>
      </c>
      <c r="Q28" s="861" t="s">
        <v>4228</v>
      </c>
      <c r="R28" s="872"/>
      <c r="S28" s="990"/>
      <c r="T28" s="927">
        <f t="shared" si="5"/>
        <v>10</v>
      </c>
      <c r="U28" s="848"/>
    </row>
    <row r="29" spans="1:21" ht="236.25">
      <c r="A29" s="177">
        <v>26</v>
      </c>
      <c r="B29" s="74" t="s">
        <v>487</v>
      </c>
      <c r="C29" s="178" t="s">
        <v>488</v>
      </c>
      <c r="D29" s="71">
        <f t="shared" si="6"/>
        <v>10</v>
      </c>
      <c r="E29" s="73" t="s">
        <v>286</v>
      </c>
      <c r="F29" s="81" t="s">
        <v>489</v>
      </c>
      <c r="G29" s="177"/>
      <c r="H29" s="177">
        <v>6</v>
      </c>
      <c r="I29" s="177">
        <v>4</v>
      </c>
      <c r="J29" s="177"/>
      <c r="K29" s="209">
        <v>9364000</v>
      </c>
      <c r="L29" s="210">
        <f t="shared" si="0"/>
        <v>93640000</v>
      </c>
      <c r="M29" s="211">
        <f t="shared" si="1"/>
        <v>0</v>
      </c>
      <c r="N29" s="212">
        <f t="shared" si="2"/>
        <v>56184000</v>
      </c>
      <c r="O29" s="213">
        <f t="shared" si="3"/>
        <v>37456000</v>
      </c>
      <c r="P29" s="682">
        <f t="shared" si="4"/>
        <v>0</v>
      </c>
      <c r="Q29" s="863" t="s">
        <v>4229</v>
      </c>
      <c r="R29" s="872" t="s">
        <v>4843</v>
      </c>
      <c r="S29" s="990">
        <v>8</v>
      </c>
      <c r="T29" s="927">
        <f t="shared" si="5"/>
        <v>2</v>
      </c>
      <c r="U29" s="848">
        <v>36000000</v>
      </c>
    </row>
    <row r="30" spans="1:21" ht="94.5">
      <c r="A30" s="177">
        <v>27</v>
      </c>
      <c r="B30" s="74" t="s">
        <v>490</v>
      </c>
      <c r="C30" s="178" t="s">
        <v>491</v>
      </c>
      <c r="D30" s="71">
        <f t="shared" si="6"/>
        <v>350</v>
      </c>
      <c r="E30" s="73" t="s">
        <v>286</v>
      </c>
      <c r="F30" s="81" t="s">
        <v>492</v>
      </c>
      <c r="G30" s="177">
        <v>100</v>
      </c>
      <c r="H30" s="177">
        <v>100</v>
      </c>
      <c r="I30" s="177">
        <v>100</v>
      </c>
      <c r="J30" s="177">
        <v>50</v>
      </c>
      <c r="K30" s="209">
        <v>3100000</v>
      </c>
      <c r="L30" s="210">
        <f t="shared" si="0"/>
        <v>1085000000</v>
      </c>
      <c r="M30" s="211">
        <f t="shared" si="1"/>
        <v>310000000</v>
      </c>
      <c r="N30" s="212">
        <f t="shared" si="2"/>
        <v>310000000</v>
      </c>
      <c r="O30" s="213">
        <f t="shared" si="3"/>
        <v>310000000</v>
      </c>
      <c r="P30" s="682">
        <f t="shared" si="4"/>
        <v>155000000</v>
      </c>
      <c r="Q30" s="863" t="s">
        <v>4229</v>
      </c>
      <c r="R30" s="872" t="s">
        <v>4844</v>
      </c>
      <c r="S30" s="990">
        <v>57</v>
      </c>
      <c r="T30" s="927">
        <f t="shared" si="5"/>
        <v>293</v>
      </c>
      <c r="U30" s="848">
        <v>170715000</v>
      </c>
    </row>
    <row r="31" spans="1:21" ht="94.5">
      <c r="A31" s="177">
        <v>28</v>
      </c>
      <c r="B31" s="74" t="s">
        <v>493</v>
      </c>
      <c r="C31" s="178" t="s">
        <v>494</v>
      </c>
      <c r="D31" s="71">
        <f t="shared" si="6"/>
        <v>5000</v>
      </c>
      <c r="E31" s="73" t="s">
        <v>286</v>
      </c>
      <c r="F31" s="81" t="s">
        <v>495</v>
      </c>
      <c r="G31" s="177"/>
      <c r="H31" s="71">
        <v>2000</v>
      </c>
      <c r="I31" s="71">
        <v>2000</v>
      </c>
      <c r="J31" s="177">
        <v>1000</v>
      </c>
      <c r="K31" s="209">
        <v>329900</v>
      </c>
      <c r="L31" s="210">
        <f t="shared" si="0"/>
        <v>1649500000</v>
      </c>
      <c r="M31" s="211">
        <f t="shared" si="1"/>
        <v>0</v>
      </c>
      <c r="N31" s="212">
        <f t="shared" si="2"/>
        <v>659800000</v>
      </c>
      <c r="O31" s="213">
        <f t="shared" si="3"/>
        <v>659800000</v>
      </c>
      <c r="P31" s="682">
        <f t="shared" si="4"/>
        <v>329900000</v>
      </c>
      <c r="Q31" s="862" t="s">
        <v>4227</v>
      </c>
      <c r="R31" s="872" t="s">
        <v>4845</v>
      </c>
      <c r="S31" s="990">
        <v>4500</v>
      </c>
      <c r="T31" s="927">
        <f t="shared" si="5"/>
        <v>500</v>
      </c>
      <c r="U31" s="848">
        <v>1043997000</v>
      </c>
    </row>
    <row r="32" spans="1:21" ht="94.5">
      <c r="A32" s="177">
        <v>29</v>
      </c>
      <c r="B32" s="73" t="s">
        <v>496</v>
      </c>
      <c r="C32" s="178" t="s">
        <v>497</v>
      </c>
      <c r="D32" s="71">
        <v>2500</v>
      </c>
      <c r="E32" s="73" t="s">
        <v>27</v>
      </c>
      <c r="F32" s="81" t="s">
        <v>498</v>
      </c>
      <c r="G32" s="178">
        <v>500</v>
      </c>
      <c r="H32" s="178">
        <v>1000</v>
      </c>
      <c r="I32" s="178">
        <v>1000</v>
      </c>
      <c r="J32" s="178"/>
      <c r="K32" s="209">
        <v>12240</v>
      </c>
      <c r="L32" s="210">
        <f t="shared" si="0"/>
        <v>30600000</v>
      </c>
      <c r="M32" s="211">
        <f t="shared" si="1"/>
        <v>6120000</v>
      </c>
      <c r="N32" s="212">
        <f t="shared" si="2"/>
        <v>12240000</v>
      </c>
      <c r="O32" s="213">
        <f t="shared" si="3"/>
        <v>12240000</v>
      </c>
      <c r="P32" s="682">
        <f t="shared" si="4"/>
        <v>0</v>
      </c>
      <c r="Q32" s="861" t="s">
        <v>4228</v>
      </c>
      <c r="R32" s="872" t="s">
        <v>4846</v>
      </c>
      <c r="S32" s="990">
        <v>1000</v>
      </c>
      <c r="T32" s="927">
        <f t="shared" si="5"/>
        <v>1500</v>
      </c>
      <c r="U32" s="848">
        <v>9864200</v>
      </c>
    </row>
    <row r="33" spans="1:21" ht="78.75">
      <c r="A33" s="177">
        <v>30</v>
      </c>
      <c r="B33" s="73" t="s">
        <v>499</v>
      </c>
      <c r="C33" s="178" t="s">
        <v>500</v>
      </c>
      <c r="D33" s="71">
        <v>2500</v>
      </c>
      <c r="E33" s="73" t="s">
        <v>27</v>
      </c>
      <c r="F33" s="81" t="s">
        <v>501</v>
      </c>
      <c r="G33" s="178">
        <v>500</v>
      </c>
      <c r="H33" s="178">
        <v>1000</v>
      </c>
      <c r="I33" s="178">
        <v>1000</v>
      </c>
      <c r="J33" s="178"/>
      <c r="K33" s="209">
        <v>11440</v>
      </c>
      <c r="L33" s="210">
        <f t="shared" si="0"/>
        <v>28600000</v>
      </c>
      <c r="M33" s="211">
        <f t="shared" si="1"/>
        <v>5720000</v>
      </c>
      <c r="N33" s="212">
        <f t="shared" si="2"/>
        <v>11440000</v>
      </c>
      <c r="O33" s="213">
        <f t="shared" si="3"/>
        <v>11440000</v>
      </c>
      <c r="P33" s="682">
        <f t="shared" si="4"/>
        <v>0</v>
      </c>
      <c r="Q33" s="861" t="s">
        <v>4228</v>
      </c>
      <c r="R33" s="872" t="s">
        <v>4846</v>
      </c>
      <c r="S33" s="990">
        <v>1000</v>
      </c>
      <c r="T33" s="927">
        <f t="shared" si="5"/>
        <v>1500</v>
      </c>
      <c r="U33" s="848">
        <v>8556000</v>
      </c>
    </row>
    <row r="34" spans="1:21" ht="78.75">
      <c r="A34" s="177">
        <v>31</v>
      </c>
      <c r="B34" s="73" t="s">
        <v>502</v>
      </c>
      <c r="C34" s="178" t="s">
        <v>503</v>
      </c>
      <c r="D34" s="71">
        <f>G34+H34+I34+J34</f>
        <v>600</v>
      </c>
      <c r="E34" s="73" t="s">
        <v>27</v>
      </c>
      <c r="F34" s="81" t="s">
        <v>501</v>
      </c>
      <c r="G34" s="177">
        <v>200</v>
      </c>
      <c r="H34" s="177">
        <v>200</v>
      </c>
      <c r="I34" s="177">
        <v>200</v>
      </c>
      <c r="J34" s="177"/>
      <c r="K34" s="209">
        <v>8034</v>
      </c>
      <c r="L34" s="210">
        <f t="shared" si="0"/>
        <v>4820400</v>
      </c>
      <c r="M34" s="211">
        <f t="shared" si="1"/>
        <v>1606800</v>
      </c>
      <c r="N34" s="212">
        <f t="shared" si="2"/>
        <v>1606800</v>
      </c>
      <c r="O34" s="213">
        <f t="shared" si="3"/>
        <v>1606800</v>
      </c>
      <c r="P34" s="682">
        <f t="shared" si="4"/>
        <v>0</v>
      </c>
      <c r="Q34" s="861" t="s">
        <v>4228</v>
      </c>
      <c r="R34" s="872" t="s">
        <v>4846</v>
      </c>
      <c r="S34" s="990">
        <v>200</v>
      </c>
      <c r="T34" s="927">
        <f t="shared" si="5"/>
        <v>400</v>
      </c>
      <c r="U34" s="848">
        <v>1264800</v>
      </c>
    </row>
    <row r="35" spans="1:21" ht="157.5">
      <c r="A35" s="177">
        <v>32</v>
      </c>
      <c r="B35" s="178" t="s">
        <v>504</v>
      </c>
      <c r="C35" s="178" t="s">
        <v>505</v>
      </c>
      <c r="D35" s="71">
        <f t="shared" si="6"/>
        <v>30</v>
      </c>
      <c r="E35" s="177" t="s">
        <v>464</v>
      </c>
      <c r="F35" s="81" t="s">
        <v>506</v>
      </c>
      <c r="G35" s="177">
        <v>10</v>
      </c>
      <c r="H35" s="177">
        <v>10</v>
      </c>
      <c r="I35" s="177">
        <v>10</v>
      </c>
      <c r="J35" s="177"/>
      <c r="K35" s="209">
        <v>3709673</v>
      </c>
      <c r="L35" s="210">
        <f t="shared" si="0"/>
        <v>111290190</v>
      </c>
      <c r="M35" s="211">
        <f t="shared" si="1"/>
        <v>37096730</v>
      </c>
      <c r="N35" s="212">
        <f t="shared" si="2"/>
        <v>37096730</v>
      </c>
      <c r="O35" s="213">
        <f t="shared" si="3"/>
        <v>37096730</v>
      </c>
      <c r="P35" s="682">
        <f t="shared" si="4"/>
        <v>0</v>
      </c>
      <c r="Q35" s="863" t="s">
        <v>4229</v>
      </c>
      <c r="R35" s="872"/>
      <c r="S35" s="990"/>
      <c r="T35" s="927">
        <f t="shared" si="5"/>
        <v>30</v>
      </c>
      <c r="U35" s="848"/>
    </row>
    <row r="36" spans="1:21" s="58" customFormat="1" ht="299.25">
      <c r="A36" s="177">
        <v>33</v>
      </c>
      <c r="B36" s="178" t="s">
        <v>2830</v>
      </c>
      <c r="C36" s="178" t="s">
        <v>2831</v>
      </c>
      <c r="D36" s="71">
        <v>30</v>
      </c>
      <c r="E36" s="177" t="s">
        <v>464</v>
      </c>
      <c r="F36" s="81" t="s">
        <v>506</v>
      </c>
      <c r="G36" s="177">
        <v>10</v>
      </c>
      <c r="H36" s="177">
        <v>10</v>
      </c>
      <c r="I36" s="177">
        <v>10</v>
      </c>
      <c r="J36" s="177"/>
      <c r="K36" s="209">
        <v>1890000</v>
      </c>
      <c r="L36" s="210">
        <f t="shared" si="0"/>
        <v>56700000</v>
      </c>
      <c r="M36" s="211">
        <f t="shared" si="1"/>
        <v>18900000</v>
      </c>
      <c r="N36" s="212">
        <f t="shared" si="2"/>
        <v>18900000</v>
      </c>
      <c r="O36" s="213">
        <f t="shared" si="3"/>
        <v>18900000</v>
      </c>
      <c r="P36" s="682">
        <f t="shared" si="4"/>
        <v>0</v>
      </c>
      <c r="Q36" s="863" t="s">
        <v>4229</v>
      </c>
      <c r="R36" s="872"/>
      <c r="S36" s="990"/>
      <c r="T36" s="927">
        <f t="shared" si="5"/>
        <v>30</v>
      </c>
      <c r="U36" s="848"/>
    </row>
    <row r="37" spans="1:21" ht="31.5">
      <c r="A37" s="177">
        <v>34</v>
      </c>
      <c r="B37" s="178" t="s">
        <v>507</v>
      </c>
      <c r="C37" s="178" t="s">
        <v>508</v>
      </c>
      <c r="D37" s="71">
        <f>G37+H37+I37+J37</f>
        <v>1000</v>
      </c>
      <c r="E37" s="177" t="s">
        <v>432</v>
      </c>
      <c r="F37" s="81" t="s">
        <v>509</v>
      </c>
      <c r="G37" s="177">
        <v>1000</v>
      </c>
      <c r="H37" s="177"/>
      <c r="I37" s="177"/>
      <c r="J37" s="177"/>
      <c r="K37" s="209">
        <v>33550</v>
      </c>
      <c r="L37" s="210">
        <f t="shared" si="0"/>
        <v>33550000</v>
      </c>
      <c r="M37" s="211">
        <f t="shared" si="1"/>
        <v>33550000</v>
      </c>
      <c r="N37" s="212">
        <f t="shared" si="2"/>
        <v>0</v>
      </c>
      <c r="O37" s="213">
        <f t="shared" si="3"/>
        <v>0</v>
      </c>
      <c r="P37" s="682">
        <f t="shared" si="4"/>
        <v>0</v>
      </c>
      <c r="Q37" s="862" t="s">
        <v>4227</v>
      </c>
      <c r="R37" s="872"/>
      <c r="S37" s="990"/>
      <c r="T37" s="927">
        <f t="shared" si="5"/>
        <v>1000</v>
      </c>
      <c r="U37" s="848"/>
    </row>
    <row r="38" spans="1:21" ht="252">
      <c r="A38" s="177">
        <v>35</v>
      </c>
      <c r="B38" s="178" t="s">
        <v>510</v>
      </c>
      <c r="C38" s="178" t="s">
        <v>511</v>
      </c>
      <c r="D38" s="71">
        <f>G38+H38+I38+J38</f>
        <v>200</v>
      </c>
      <c r="E38" s="177" t="s">
        <v>432</v>
      </c>
      <c r="F38" s="81" t="s">
        <v>509</v>
      </c>
      <c r="G38" s="177">
        <v>200</v>
      </c>
      <c r="H38" s="177"/>
      <c r="I38" s="177"/>
      <c r="J38" s="177"/>
      <c r="K38" s="209">
        <v>87560</v>
      </c>
      <c r="L38" s="210">
        <f t="shared" si="0"/>
        <v>17512000</v>
      </c>
      <c r="M38" s="211">
        <f t="shared" si="1"/>
        <v>17512000</v>
      </c>
      <c r="N38" s="212">
        <f t="shared" si="2"/>
        <v>0</v>
      </c>
      <c r="O38" s="213">
        <f t="shared" si="3"/>
        <v>0</v>
      </c>
      <c r="P38" s="682">
        <f t="shared" si="4"/>
        <v>0</v>
      </c>
      <c r="Q38" s="861" t="s">
        <v>4228</v>
      </c>
      <c r="R38" s="872"/>
      <c r="S38" s="990"/>
      <c r="T38" s="927">
        <f t="shared" si="5"/>
        <v>200</v>
      </c>
      <c r="U38" s="848"/>
    </row>
    <row r="39" spans="1:21" ht="94.5">
      <c r="A39" s="177">
        <v>36</v>
      </c>
      <c r="B39" s="178" t="s">
        <v>512</v>
      </c>
      <c r="C39" s="178" t="s">
        <v>513</v>
      </c>
      <c r="D39" s="71">
        <f t="shared" si="6"/>
        <v>35000</v>
      </c>
      <c r="E39" s="177" t="s">
        <v>27</v>
      </c>
      <c r="F39" s="81" t="s">
        <v>514</v>
      </c>
      <c r="G39" s="71">
        <v>15000</v>
      </c>
      <c r="H39" s="177">
        <v>20000</v>
      </c>
      <c r="I39" s="177"/>
      <c r="J39" s="177"/>
      <c r="K39" s="209">
        <v>1358</v>
      </c>
      <c r="L39" s="210">
        <f t="shared" si="0"/>
        <v>47530000</v>
      </c>
      <c r="M39" s="211">
        <f t="shared" si="1"/>
        <v>20370000</v>
      </c>
      <c r="N39" s="212">
        <f t="shared" si="2"/>
        <v>27160000</v>
      </c>
      <c r="O39" s="213">
        <f t="shared" si="3"/>
        <v>0</v>
      </c>
      <c r="P39" s="682">
        <f t="shared" si="4"/>
        <v>0</v>
      </c>
      <c r="Q39" s="861" t="s">
        <v>4228</v>
      </c>
      <c r="R39" s="872" t="s">
        <v>4847</v>
      </c>
      <c r="S39" s="990">
        <v>30000</v>
      </c>
      <c r="T39" s="927">
        <f t="shared" si="5"/>
        <v>5000</v>
      </c>
      <c r="U39" s="848">
        <v>29160000</v>
      </c>
    </row>
    <row r="40" spans="1:21" ht="204.75">
      <c r="A40" s="177">
        <v>37</v>
      </c>
      <c r="B40" s="178" t="s">
        <v>515</v>
      </c>
      <c r="C40" s="178" t="s">
        <v>516</v>
      </c>
      <c r="D40" s="71">
        <f t="shared" si="6"/>
        <v>30</v>
      </c>
      <c r="E40" s="177"/>
      <c r="F40" s="81" t="s">
        <v>517</v>
      </c>
      <c r="G40" s="71">
        <v>30</v>
      </c>
      <c r="H40" s="177"/>
      <c r="I40" s="177"/>
      <c r="J40" s="177"/>
      <c r="K40" s="209">
        <v>215000</v>
      </c>
      <c r="L40" s="210">
        <f t="shared" si="0"/>
        <v>6450000</v>
      </c>
      <c r="M40" s="211">
        <f t="shared" si="1"/>
        <v>6450000</v>
      </c>
      <c r="N40" s="212">
        <f t="shared" si="2"/>
        <v>0</v>
      </c>
      <c r="O40" s="213">
        <f t="shared" si="3"/>
        <v>0</v>
      </c>
      <c r="P40" s="682">
        <f t="shared" si="4"/>
        <v>0</v>
      </c>
      <c r="Q40" s="862" t="s">
        <v>4227</v>
      </c>
      <c r="R40" s="872"/>
      <c r="S40" s="990"/>
      <c r="T40" s="927">
        <f t="shared" si="5"/>
        <v>30</v>
      </c>
      <c r="U40" s="848"/>
    </row>
    <row r="41" spans="1:21" s="58" customFormat="1" ht="204.75">
      <c r="A41" s="177">
        <v>38</v>
      </c>
      <c r="B41" s="178" t="s">
        <v>2838</v>
      </c>
      <c r="C41" s="178" t="s">
        <v>2839</v>
      </c>
      <c r="D41" s="71">
        <f t="shared" si="6"/>
        <v>1000</v>
      </c>
      <c r="E41" s="177"/>
      <c r="F41" s="81"/>
      <c r="G41" s="71">
        <v>0</v>
      </c>
      <c r="H41" s="177">
        <v>500</v>
      </c>
      <c r="I41" s="177">
        <v>500</v>
      </c>
      <c r="J41" s="177"/>
      <c r="K41" s="209">
        <v>68500</v>
      </c>
      <c r="L41" s="210">
        <f t="shared" si="0"/>
        <v>68500000</v>
      </c>
      <c r="M41" s="211">
        <f t="shared" si="1"/>
        <v>0</v>
      </c>
      <c r="N41" s="212">
        <f t="shared" si="2"/>
        <v>34250000</v>
      </c>
      <c r="O41" s="213">
        <f t="shared" si="3"/>
        <v>34250000</v>
      </c>
      <c r="P41" s="682">
        <f t="shared" si="4"/>
        <v>0</v>
      </c>
      <c r="Q41" s="862" t="s">
        <v>4227</v>
      </c>
      <c r="R41" s="872"/>
      <c r="S41" s="990"/>
      <c r="T41" s="927">
        <f t="shared" si="5"/>
        <v>1000</v>
      </c>
      <c r="U41" s="848"/>
    </row>
    <row r="42" spans="1:21" ht="85.5">
      <c r="A42" s="177">
        <v>39</v>
      </c>
      <c r="B42" s="178" t="s">
        <v>519</v>
      </c>
      <c r="C42" s="178" t="s">
        <v>520</v>
      </c>
      <c r="D42" s="71">
        <f t="shared" si="6"/>
        <v>10</v>
      </c>
      <c r="E42" s="177" t="s">
        <v>278</v>
      </c>
      <c r="F42" s="81" t="s">
        <v>521</v>
      </c>
      <c r="G42" s="71">
        <v>4</v>
      </c>
      <c r="H42" s="177">
        <v>4</v>
      </c>
      <c r="I42" s="177">
        <v>2</v>
      </c>
      <c r="J42" s="177"/>
      <c r="K42" s="372">
        <v>132400000</v>
      </c>
      <c r="L42" s="210">
        <f t="shared" si="0"/>
        <v>1324000000</v>
      </c>
      <c r="M42" s="211">
        <f t="shared" si="1"/>
        <v>529600000</v>
      </c>
      <c r="N42" s="212">
        <f t="shared" si="2"/>
        <v>529600000</v>
      </c>
      <c r="O42" s="213">
        <f t="shared" si="3"/>
        <v>264800000</v>
      </c>
      <c r="P42" s="682">
        <f t="shared" si="4"/>
        <v>0</v>
      </c>
      <c r="Q42" s="861" t="s">
        <v>4228</v>
      </c>
      <c r="R42" s="872" t="s">
        <v>4848</v>
      </c>
      <c r="S42" s="990">
        <v>4</v>
      </c>
      <c r="T42" s="927">
        <f t="shared" si="5"/>
        <v>6</v>
      </c>
      <c r="U42" s="848">
        <v>660000000</v>
      </c>
    </row>
    <row r="43" spans="1:21" ht="15.75">
      <c r="A43" s="1167" t="s">
        <v>2708</v>
      </c>
      <c r="B43" s="1168"/>
      <c r="C43" s="1168"/>
      <c r="D43" s="1168"/>
      <c r="E43" s="1168"/>
      <c r="F43" s="1168"/>
      <c r="G43" s="1168"/>
      <c r="H43" s="1168"/>
      <c r="I43" s="1168"/>
      <c r="J43" s="1169"/>
      <c r="K43" s="373"/>
      <c r="L43" s="374">
        <f>SUM(L4:L42)</f>
        <v>20803419384</v>
      </c>
      <c r="M43" s="374">
        <f>SUM(M4:M42)</f>
        <v>3572950730</v>
      </c>
      <c r="N43" s="374">
        <f>SUM(N4:N42)</f>
        <v>6657143428</v>
      </c>
      <c r="O43" s="374">
        <f>SUM(O4:O42)</f>
        <v>6718059928</v>
      </c>
      <c r="P43" s="683">
        <f>SUM(P4:P42)</f>
        <v>3855265298</v>
      </c>
      <c r="Q43" s="463"/>
      <c r="R43" s="872"/>
      <c r="S43" s="990"/>
      <c r="T43" s="927">
        <f t="shared" si="5"/>
        <v>0</v>
      </c>
      <c r="U43" s="848"/>
    </row>
    <row r="44" spans="1:21" ht="18.75">
      <c r="A44" s="1171" t="s">
        <v>522</v>
      </c>
      <c r="B44" s="1171"/>
      <c r="C44" s="1171"/>
      <c r="D44" s="1171"/>
      <c r="E44" s="1171"/>
      <c r="F44" s="1171"/>
      <c r="G44" s="1171"/>
      <c r="H44" s="1171"/>
      <c r="I44" s="1171"/>
      <c r="J44" s="1171"/>
      <c r="K44" s="1171"/>
      <c r="L44" s="1171"/>
      <c r="M44" s="1171">
        <f t="shared" si="1"/>
        <v>0</v>
      </c>
      <c r="N44" s="1171">
        <f t="shared" si="2"/>
        <v>0</v>
      </c>
      <c r="O44" s="1171">
        <f t="shared" si="3"/>
        <v>0</v>
      </c>
      <c r="P44" s="1172">
        <f t="shared" si="4"/>
        <v>0</v>
      </c>
      <c r="Q44" s="463"/>
      <c r="R44" s="872"/>
      <c r="S44" s="990"/>
      <c r="T44" s="927">
        <f t="shared" si="5"/>
        <v>0</v>
      </c>
      <c r="U44" s="848"/>
    </row>
    <row r="45" spans="1:21" ht="173.25">
      <c r="A45" s="177">
        <v>40</v>
      </c>
      <c r="B45" s="178" t="s">
        <v>523</v>
      </c>
      <c r="C45" s="178" t="s">
        <v>524</v>
      </c>
      <c r="D45" s="421">
        <v>0</v>
      </c>
      <c r="E45" s="73" t="s">
        <v>286</v>
      </c>
      <c r="F45" s="81" t="s">
        <v>525</v>
      </c>
      <c r="G45" s="177"/>
      <c r="H45" s="177"/>
      <c r="I45" s="177"/>
      <c r="J45" s="177"/>
      <c r="K45" s="209">
        <v>32900304</v>
      </c>
      <c r="L45" s="210">
        <f>K45*D45</f>
        <v>0</v>
      </c>
      <c r="M45" s="211">
        <f t="shared" si="1"/>
        <v>0</v>
      </c>
      <c r="N45" s="212">
        <f t="shared" si="2"/>
        <v>0</v>
      </c>
      <c r="O45" s="213">
        <f t="shared" si="3"/>
        <v>0</v>
      </c>
      <c r="P45" s="682">
        <f t="shared" si="4"/>
        <v>0</v>
      </c>
      <c r="Q45" s="475"/>
      <c r="R45" s="872"/>
      <c r="S45" s="990"/>
      <c r="T45" s="927">
        <f t="shared" si="5"/>
        <v>0</v>
      </c>
      <c r="U45" s="848"/>
    </row>
    <row r="46" spans="1:21" ht="15.75">
      <c r="A46" s="177">
        <v>41</v>
      </c>
      <c r="B46" s="178" t="s">
        <v>526</v>
      </c>
      <c r="C46" s="178" t="s">
        <v>527</v>
      </c>
      <c r="D46" s="421">
        <v>0</v>
      </c>
      <c r="E46" s="73" t="s">
        <v>286</v>
      </c>
      <c r="F46" s="81"/>
      <c r="G46" s="177"/>
      <c r="H46" s="177"/>
      <c r="I46" s="177"/>
      <c r="J46" s="177"/>
      <c r="K46" s="209">
        <v>50931774</v>
      </c>
      <c r="L46" s="210">
        <f>K46*D46</f>
        <v>0</v>
      </c>
      <c r="M46" s="211">
        <f t="shared" si="1"/>
        <v>0</v>
      </c>
      <c r="N46" s="212">
        <f t="shared" si="2"/>
        <v>0</v>
      </c>
      <c r="O46" s="213">
        <f t="shared" si="3"/>
        <v>0</v>
      </c>
      <c r="P46" s="682">
        <f t="shared" si="4"/>
        <v>0</v>
      </c>
      <c r="Q46" s="475"/>
      <c r="R46" s="872"/>
      <c r="S46" s="990"/>
      <c r="T46" s="927">
        <f t="shared" si="5"/>
        <v>0</v>
      </c>
      <c r="U46" s="848"/>
    </row>
    <row r="47" spans="1:21" ht="15.75">
      <c r="A47" s="177">
        <v>42</v>
      </c>
      <c r="B47" s="178" t="s">
        <v>528</v>
      </c>
      <c r="C47" s="178"/>
      <c r="D47" s="421">
        <v>0</v>
      </c>
      <c r="E47" s="73" t="s">
        <v>286</v>
      </c>
      <c r="F47" s="81"/>
      <c r="G47" s="177"/>
      <c r="H47" s="177"/>
      <c r="I47" s="177"/>
      <c r="J47" s="177"/>
      <c r="K47" s="209">
        <v>12267325</v>
      </c>
      <c r="L47" s="210">
        <f>K47*D47</f>
        <v>0</v>
      </c>
      <c r="M47" s="211">
        <f t="shared" si="1"/>
        <v>0</v>
      </c>
      <c r="N47" s="212">
        <f t="shared" si="2"/>
        <v>0</v>
      </c>
      <c r="O47" s="213">
        <f t="shared" si="3"/>
        <v>0</v>
      </c>
      <c r="P47" s="682">
        <f t="shared" si="4"/>
        <v>0</v>
      </c>
      <c r="Q47" s="475"/>
      <c r="R47" s="872"/>
      <c r="S47" s="990"/>
      <c r="T47" s="927">
        <f t="shared" si="5"/>
        <v>0</v>
      </c>
      <c r="U47" s="848"/>
    </row>
    <row r="48" spans="1:21" ht="15.75">
      <c r="A48" s="1167" t="s">
        <v>2708</v>
      </c>
      <c r="B48" s="1168"/>
      <c r="C48" s="1168"/>
      <c r="D48" s="1168"/>
      <c r="E48" s="1168"/>
      <c r="F48" s="1168"/>
      <c r="G48" s="1168"/>
      <c r="H48" s="1168"/>
      <c r="I48" s="1168"/>
      <c r="J48" s="1169"/>
      <c r="K48" s="374"/>
      <c r="L48" s="374">
        <f>SUM(L45:L47)</f>
        <v>0</v>
      </c>
      <c r="M48" s="374">
        <f>SUM(M45:M47)</f>
        <v>0</v>
      </c>
      <c r="N48" s="374">
        <f>SUM(N45:N47)</f>
        <v>0</v>
      </c>
      <c r="O48" s="374">
        <f>SUM(O45:O47)</f>
        <v>0</v>
      </c>
      <c r="P48" s="683">
        <f>SUM(P45:P47)</f>
        <v>0</v>
      </c>
      <c r="Q48" s="824"/>
      <c r="R48" s="872"/>
      <c r="S48" s="990"/>
      <c r="T48" s="927">
        <f t="shared" si="5"/>
        <v>0</v>
      </c>
      <c r="U48" s="848"/>
    </row>
    <row r="49" spans="1:21" ht="18.75">
      <c r="A49" s="1171" t="s">
        <v>529</v>
      </c>
      <c r="B49" s="1171"/>
      <c r="C49" s="1171"/>
      <c r="D49" s="1171"/>
      <c r="E49" s="1171"/>
      <c r="F49" s="1171"/>
      <c r="G49" s="1171"/>
      <c r="H49" s="1171"/>
      <c r="I49" s="1171"/>
      <c r="J49" s="1171"/>
      <c r="K49" s="214"/>
      <c r="L49" s="214">
        <f>K49*D49</f>
        <v>0</v>
      </c>
      <c r="M49" s="214">
        <f t="shared" si="1"/>
        <v>0</v>
      </c>
      <c r="N49" s="214">
        <f t="shared" si="2"/>
        <v>0</v>
      </c>
      <c r="O49" s="214">
        <f t="shared" si="3"/>
        <v>0</v>
      </c>
      <c r="P49" s="684">
        <f t="shared" si="4"/>
        <v>0</v>
      </c>
      <c r="Q49" s="463"/>
      <c r="R49" s="872"/>
      <c r="S49" s="990"/>
      <c r="T49" s="927">
        <f t="shared" si="5"/>
        <v>0</v>
      </c>
      <c r="U49" s="848"/>
    </row>
    <row r="50" spans="1:21" s="669" customFormat="1" ht="63">
      <c r="A50" s="670">
        <v>43</v>
      </c>
      <c r="B50" s="673" t="s">
        <v>530</v>
      </c>
      <c r="C50" s="674" t="s">
        <v>531</v>
      </c>
      <c r="D50" s="671">
        <v>3</v>
      </c>
      <c r="E50" s="673" t="s">
        <v>464</v>
      </c>
      <c r="F50" s="675" t="s">
        <v>532</v>
      </c>
      <c r="G50" s="670">
        <v>3</v>
      </c>
      <c r="H50" s="670"/>
      <c r="I50" s="670"/>
      <c r="J50" s="670"/>
      <c r="K50" s="676">
        <v>461952000</v>
      </c>
      <c r="L50" s="677">
        <f>K50*D50</f>
        <v>1385856000</v>
      </c>
      <c r="M50" s="678">
        <f>K50*G50</f>
        <v>1385856000</v>
      </c>
      <c r="N50" s="679">
        <f>K50*H50</f>
        <v>0</v>
      </c>
      <c r="O50" s="680">
        <f>K50*I50</f>
        <v>0</v>
      </c>
      <c r="P50" s="685">
        <f>K50*J50</f>
        <v>0</v>
      </c>
      <c r="Q50" s="863" t="s">
        <v>4229</v>
      </c>
      <c r="R50" s="872" t="s">
        <v>4849</v>
      </c>
      <c r="S50" s="990">
        <v>3</v>
      </c>
      <c r="T50" s="927">
        <f t="shared" si="5"/>
        <v>0</v>
      </c>
      <c r="U50" s="848">
        <v>1245600000</v>
      </c>
    </row>
    <row r="51" spans="1:21" s="669" customFormat="1" ht="173.25">
      <c r="A51" s="670">
        <v>44</v>
      </c>
      <c r="B51" s="673" t="s">
        <v>533</v>
      </c>
      <c r="C51" s="674" t="s">
        <v>534</v>
      </c>
      <c r="D51" s="671">
        <v>4</v>
      </c>
      <c r="E51" s="672" t="s">
        <v>286</v>
      </c>
      <c r="F51" s="675"/>
      <c r="G51" s="670">
        <v>4</v>
      </c>
      <c r="H51" s="670"/>
      <c r="I51" s="670"/>
      <c r="J51" s="670"/>
      <c r="K51" s="676">
        <v>165000000</v>
      </c>
      <c r="L51" s="677">
        <f>K51*D51</f>
        <v>660000000</v>
      </c>
      <c r="M51" s="678">
        <f>K51*G51</f>
        <v>660000000</v>
      </c>
      <c r="N51" s="679">
        <f>K51*H51</f>
        <v>0</v>
      </c>
      <c r="O51" s="680">
        <f>K51*I51</f>
        <v>0</v>
      </c>
      <c r="P51" s="685">
        <f>K51*J51</f>
        <v>0</v>
      </c>
      <c r="Q51" s="861" t="s">
        <v>4228</v>
      </c>
      <c r="R51" s="872"/>
      <c r="S51" s="990"/>
      <c r="T51" s="927">
        <f t="shared" si="5"/>
        <v>4</v>
      </c>
      <c r="U51" s="848"/>
    </row>
    <row r="52" spans="1:21" ht="15.75">
      <c r="A52" s="1167" t="s">
        <v>2708</v>
      </c>
      <c r="B52" s="1168"/>
      <c r="C52" s="1168"/>
      <c r="D52" s="1168"/>
      <c r="E52" s="1168"/>
      <c r="F52" s="1168"/>
      <c r="G52" s="1168"/>
      <c r="H52" s="1168"/>
      <c r="I52" s="1168"/>
      <c r="J52" s="1169"/>
      <c r="K52" s="374"/>
      <c r="L52" s="374">
        <f>SUM(L50:L51)</f>
        <v>2045856000</v>
      </c>
      <c r="M52" s="374">
        <f>SUM(M50:M51)</f>
        <v>2045856000</v>
      </c>
      <c r="N52" s="374"/>
      <c r="O52" s="374"/>
      <c r="P52" s="683"/>
      <c r="Q52" s="463"/>
      <c r="R52" s="872"/>
      <c r="S52" s="990"/>
      <c r="T52" s="927">
        <f t="shared" si="5"/>
        <v>0</v>
      </c>
      <c r="U52" s="848"/>
    </row>
    <row r="53" spans="1:21" ht="18.75">
      <c r="A53" s="1171" t="s">
        <v>535</v>
      </c>
      <c r="B53" s="1171"/>
      <c r="C53" s="1171"/>
      <c r="D53" s="1171"/>
      <c r="E53" s="1171"/>
      <c r="F53" s="1171"/>
      <c r="G53" s="1171"/>
      <c r="H53" s="1171"/>
      <c r="I53" s="1171"/>
      <c r="J53" s="1171"/>
      <c r="K53" s="214"/>
      <c r="L53" s="214">
        <f>K53*D53</f>
        <v>0</v>
      </c>
      <c r="M53" s="214">
        <f t="shared" si="1"/>
        <v>0</v>
      </c>
      <c r="N53" s="214">
        <f t="shared" si="2"/>
        <v>0</v>
      </c>
      <c r="O53" s="214">
        <f t="shared" si="3"/>
        <v>0</v>
      </c>
      <c r="P53" s="684">
        <f t="shared" si="4"/>
        <v>0</v>
      </c>
      <c r="Q53" s="463"/>
      <c r="R53" s="872"/>
      <c r="S53" s="990"/>
      <c r="T53" s="927">
        <f t="shared" si="5"/>
        <v>0</v>
      </c>
      <c r="U53" s="848"/>
    </row>
    <row r="54" spans="1:21" ht="31.5">
      <c r="A54" s="177">
        <v>45</v>
      </c>
      <c r="B54" s="177" t="s">
        <v>536</v>
      </c>
      <c r="C54" s="178" t="s">
        <v>537</v>
      </c>
      <c r="D54" s="71">
        <f>G54+H54+I54+J54</f>
        <v>2</v>
      </c>
      <c r="E54" s="73" t="s">
        <v>286</v>
      </c>
      <c r="F54" s="81" t="s">
        <v>538</v>
      </c>
      <c r="G54" s="177">
        <v>2</v>
      </c>
      <c r="H54" s="177"/>
      <c r="I54" s="177"/>
      <c r="J54" s="177"/>
      <c r="K54" s="119">
        <v>265000000</v>
      </c>
      <c r="L54" s="210">
        <f>K54*D54</f>
        <v>530000000</v>
      </c>
      <c r="M54" s="211">
        <f t="shared" si="1"/>
        <v>530000000</v>
      </c>
      <c r="N54" s="212">
        <f t="shared" si="2"/>
        <v>0</v>
      </c>
      <c r="O54" s="213">
        <f t="shared" si="3"/>
        <v>0</v>
      </c>
      <c r="P54" s="682">
        <f t="shared" si="4"/>
        <v>0</v>
      </c>
      <c r="Q54" s="861" t="s">
        <v>4228</v>
      </c>
      <c r="R54" s="872"/>
      <c r="S54" s="990"/>
      <c r="T54" s="927">
        <f t="shared" si="5"/>
        <v>2</v>
      </c>
      <c r="U54" s="848"/>
    </row>
    <row r="55" spans="1:21" ht="31.5">
      <c r="A55" s="177">
        <v>46</v>
      </c>
      <c r="B55" s="177" t="s">
        <v>539</v>
      </c>
      <c r="C55" s="178" t="s">
        <v>540</v>
      </c>
      <c r="D55" s="71">
        <f>G55+H55+I55+J55</f>
        <v>2</v>
      </c>
      <c r="E55" s="73" t="s">
        <v>286</v>
      </c>
      <c r="F55" s="81"/>
      <c r="G55" s="177">
        <v>2</v>
      </c>
      <c r="H55" s="177"/>
      <c r="I55" s="177"/>
      <c r="J55" s="177"/>
      <c r="K55" s="119">
        <v>59800000</v>
      </c>
      <c r="L55" s="210">
        <f>K55*D55</f>
        <v>119600000</v>
      </c>
      <c r="M55" s="211">
        <f t="shared" si="1"/>
        <v>119600000</v>
      </c>
      <c r="N55" s="212">
        <f t="shared" si="2"/>
        <v>0</v>
      </c>
      <c r="O55" s="213">
        <f t="shared" si="3"/>
        <v>0</v>
      </c>
      <c r="P55" s="682">
        <f t="shared" si="4"/>
        <v>0</v>
      </c>
      <c r="Q55" s="861" t="s">
        <v>4228</v>
      </c>
      <c r="R55" s="872"/>
      <c r="S55" s="990"/>
      <c r="T55" s="927">
        <f t="shared" si="5"/>
        <v>2</v>
      </c>
      <c r="U55" s="848"/>
    </row>
    <row r="56" spans="1:21" ht="31.5">
      <c r="A56" s="177">
        <v>47</v>
      </c>
      <c r="B56" s="177" t="s">
        <v>541</v>
      </c>
      <c r="C56" s="178"/>
      <c r="D56" s="71">
        <f>G56+H56+I56+J56</f>
        <v>2</v>
      </c>
      <c r="E56" s="73" t="s">
        <v>286</v>
      </c>
      <c r="F56" s="81"/>
      <c r="G56" s="177">
        <v>2</v>
      </c>
      <c r="H56" s="177"/>
      <c r="I56" s="177"/>
      <c r="J56" s="177"/>
      <c r="K56" s="119">
        <v>19300000</v>
      </c>
      <c r="L56" s="210">
        <f>K56*D56</f>
        <v>38600000</v>
      </c>
      <c r="M56" s="211">
        <f t="shared" si="1"/>
        <v>38600000</v>
      </c>
      <c r="N56" s="212">
        <f t="shared" si="2"/>
        <v>0</v>
      </c>
      <c r="O56" s="213">
        <f t="shared" si="3"/>
        <v>0</v>
      </c>
      <c r="P56" s="682">
        <f t="shared" si="4"/>
        <v>0</v>
      </c>
      <c r="Q56" s="861" t="s">
        <v>4228</v>
      </c>
      <c r="R56" s="872"/>
      <c r="S56" s="990"/>
      <c r="T56" s="927">
        <f t="shared" si="5"/>
        <v>2</v>
      </c>
      <c r="U56" s="848"/>
    </row>
    <row r="57" spans="1:21" ht="15.75">
      <c r="A57" s="1167" t="s">
        <v>2708</v>
      </c>
      <c r="B57" s="1168"/>
      <c r="C57" s="1168"/>
      <c r="D57" s="1168"/>
      <c r="E57" s="1168"/>
      <c r="F57" s="1168"/>
      <c r="G57" s="1168"/>
      <c r="H57" s="1168"/>
      <c r="I57" s="1168"/>
      <c r="J57" s="1169"/>
      <c r="K57" s="375"/>
      <c r="L57" s="374">
        <f>SUM(L53:L56)</f>
        <v>688200000</v>
      </c>
      <c r="M57" s="374">
        <f>SUM(M53:M56)</f>
        <v>688200000</v>
      </c>
      <c r="N57" s="374"/>
      <c r="O57" s="374"/>
      <c r="P57" s="683"/>
      <c r="Q57" s="463"/>
      <c r="R57" s="872"/>
      <c r="S57" s="990"/>
      <c r="T57" s="927">
        <f t="shared" si="5"/>
        <v>0</v>
      </c>
      <c r="U57" s="848"/>
    </row>
    <row r="58" spans="1:21" ht="18.75">
      <c r="A58" s="1170" t="s">
        <v>542</v>
      </c>
      <c r="B58" s="1170"/>
      <c r="C58" s="1170"/>
      <c r="D58" s="1170"/>
      <c r="E58" s="1170"/>
      <c r="F58" s="1170"/>
      <c r="G58" s="1170"/>
      <c r="H58" s="1170"/>
      <c r="I58" s="1170"/>
      <c r="J58" s="1170"/>
      <c r="K58" s="214"/>
      <c r="L58" s="214">
        <f t="shared" ref="L58:L64" si="7">K58*D58</f>
        <v>0</v>
      </c>
      <c r="M58" s="214">
        <f t="shared" si="1"/>
        <v>0</v>
      </c>
      <c r="N58" s="214">
        <f t="shared" si="2"/>
        <v>0</v>
      </c>
      <c r="O58" s="214">
        <f t="shared" si="3"/>
        <v>0</v>
      </c>
      <c r="P58" s="684">
        <f t="shared" si="4"/>
        <v>0</v>
      </c>
      <c r="Q58" s="463"/>
      <c r="R58" s="872"/>
      <c r="S58" s="990"/>
      <c r="T58" s="927">
        <f t="shared" si="5"/>
        <v>0</v>
      </c>
      <c r="U58" s="848"/>
    </row>
    <row r="59" spans="1:21" ht="85.5">
      <c r="A59" s="177">
        <v>48</v>
      </c>
      <c r="B59" s="73" t="s">
        <v>543</v>
      </c>
      <c r="C59" s="178" t="s">
        <v>544</v>
      </c>
      <c r="D59" s="71">
        <f t="shared" ref="D59:D64" si="8">G59+H59+I59+J59</f>
        <v>220</v>
      </c>
      <c r="E59" s="73" t="s">
        <v>89</v>
      </c>
      <c r="F59" s="81" t="s">
        <v>545</v>
      </c>
      <c r="G59" s="71">
        <v>40</v>
      </c>
      <c r="H59" s="71">
        <v>60</v>
      </c>
      <c r="I59" s="71">
        <v>60</v>
      </c>
      <c r="J59" s="71">
        <v>60</v>
      </c>
      <c r="K59" s="119">
        <v>54000000</v>
      </c>
      <c r="L59" s="210">
        <f t="shared" si="7"/>
        <v>11880000000</v>
      </c>
      <c r="M59" s="211">
        <f t="shared" si="1"/>
        <v>2160000000</v>
      </c>
      <c r="N59" s="212">
        <f t="shared" si="2"/>
        <v>3240000000</v>
      </c>
      <c r="O59" s="213">
        <f t="shared" si="3"/>
        <v>3240000000</v>
      </c>
      <c r="P59" s="682">
        <f t="shared" si="4"/>
        <v>3240000000</v>
      </c>
      <c r="Q59" s="863" t="s">
        <v>4229</v>
      </c>
      <c r="R59" s="872" t="s">
        <v>4850</v>
      </c>
      <c r="S59" s="990">
        <v>50040</v>
      </c>
      <c r="T59" s="927">
        <f t="shared" si="5"/>
        <v>-49820</v>
      </c>
      <c r="U59" s="848">
        <v>1846155744</v>
      </c>
    </row>
    <row r="60" spans="1:21" ht="57">
      <c r="A60" s="177">
        <v>49</v>
      </c>
      <c r="B60" s="73" t="s">
        <v>546</v>
      </c>
      <c r="C60" s="178" t="s">
        <v>547</v>
      </c>
      <c r="D60" s="71">
        <f t="shared" si="8"/>
        <v>230000</v>
      </c>
      <c r="E60" s="73" t="s">
        <v>548</v>
      </c>
      <c r="F60" s="81" t="s">
        <v>549</v>
      </c>
      <c r="G60" s="71">
        <v>40000</v>
      </c>
      <c r="H60" s="71">
        <v>65000</v>
      </c>
      <c r="I60" s="71">
        <v>65000</v>
      </c>
      <c r="J60" s="71">
        <v>60000</v>
      </c>
      <c r="K60" s="119">
        <v>69000</v>
      </c>
      <c r="L60" s="210">
        <f t="shared" si="7"/>
        <v>15870000000</v>
      </c>
      <c r="M60" s="211">
        <f t="shared" si="1"/>
        <v>2760000000</v>
      </c>
      <c r="N60" s="212">
        <f t="shared" si="2"/>
        <v>4485000000</v>
      </c>
      <c r="O60" s="213">
        <f t="shared" si="3"/>
        <v>4485000000</v>
      </c>
      <c r="P60" s="682">
        <f t="shared" si="4"/>
        <v>4140000000</v>
      </c>
      <c r="Q60" s="863" t="s">
        <v>4229</v>
      </c>
      <c r="R60" s="872" t="s">
        <v>4851</v>
      </c>
      <c r="S60" s="990">
        <v>80640</v>
      </c>
      <c r="T60" s="927">
        <f t="shared" si="5"/>
        <v>149360</v>
      </c>
      <c r="U60" s="848">
        <v>5974020000</v>
      </c>
    </row>
    <row r="61" spans="1:21" ht="31.5">
      <c r="A61" s="177">
        <v>50</v>
      </c>
      <c r="B61" s="73" t="s">
        <v>550</v>
      </c>
      <c r="C61" s="178" t="s">
        <v>550</v>
      </c>
      <c r="D61" s="71">
        <f t="shared" si="8"/>
        <v>13000</v>
      </c>
      <c r="E61" s="73" t="s">
        <v>286</v>
      </c>
      <c r="F61" s="81" t="s">
        <v>551</v>
      </c>
      <c r="G61" s="71"/>
      <c r="H61" s="71">
        <v>6000</v>
      </c>
      <c r="I61" s="71">
        <v>7000</v>
      </c>
      <c r="J61" s="71"/>
      <c r="K61" s="119">
        <v>55000</v>
      </c>
      <c r="L61" s="210">
        <f t="shared" si="7"/>
        <v>715000000</v>
      </c>
      <c r="M61" s="211">
        <f t="shared" si="1"/>
        <v>0</v>
      </c>
      <c r="N61" s="212">
        <f t="shared" si="2"/>
        <v>330000000</v>
      </c>
      <c r="O61" s="213">
        <f t="shared" si="3"/>
        <v>385000000</v>
      </c>
      <c r="P61" s="682">
        <f t="shared" si="4"/>
        <v>0</v>
      </c>
      <c r="Q61" s="863" t="s">
        <v>4229</v>
      </c>
      <c r="R61" s="872"/>
      <c r="S61" s="990"/>
      <c r="T61" s="927">
        <f t="shared" si="5"/>
        <v>13000</v>
      </c>
      <c r="U61" s="848"/>
    </row>
    <row r="62" spans="1:21" ht="57">
      <c r="A62" s="177">
        <v>51</v>
      </c>
      <c r="B62" s="73" t="s">
        <v>552</v>
      </c>
      <c r="C62" s="178" t="s">
        <v>553</v>
      </c>
      <c r="D62" s="71">
        <f t="shared" si="8"/>
        <v>72000</v>
      </c>
      <c r="E62" s="73" t="s">
        <v>432</v>
      </c>
      <c r="F62" s="81" t="s">
        <v>554</v>
      </c>
      <c r="G62" s="71">
        <v>20000</v>
      </c>
      <c r="H62" s="71">
        <v>30000</v>
      </c>
      <c r="I62" s="71">
        <v>12000</v>
      </c>
      <c r="J62" s="71">
        <v>10000</v>
      </c>
      <c r="K62" s="119">
        <v>24000</v>
      </c>
      <c r="L62" s="210">
        <f t="shared" si="7"/>
        <v>1728000000</v>
      </c>
      <c r="M62" s="211">
        <f t="shared" si="1"/>
        <v>480000000</v>
      </c>
      <c r="N62" s="212">
        <f t="shared" si="2"/>
        <v>720000000</v>
      </c>
      <c r="O62" s="213">
        <f t="shared" si="3"/>
        <v>288000000</v>
      </c>
      <c r="P62" s="682">
        <f t="shared" si="4"/>
        <v>240000000</v>
      </c>
      <c r="Q62" s="863" t="s">
        <v>4229</v>
      </c>
      <c r="R62" s="872" t="s">
        <v>4852</v>
      </c>
      <c r="S62" s="990">
        <v>60000</v>
      </c>
      <c r="T62" s="927">
        <f t="shared" si="5"/>
        <v>12000</v>
      </c>
      <c r="U62" s="848">
        <v>780570000</v>
      </c>
    </row>
    <row r="63" spans="1:21" ht="31.5">
      <c r="A63" s="177">
        <v>52</v>
      </c>
      <c r="B63" s="178" t="s">
        <v>555</v>
      </c>
      <c r="C63" s="178" t="s">
        <v>556</v>
      </c>
      <c r="D63" s="71">
        <f t="shared" si="8"/>
        <v>10000</v>
      </c>
      <c r="E63" s="178" t="s">
        <v>27</v>
      </c>
      <c r="F63" s="81" t="s">
        <v>557</v>
      </c>
      <c r="G63" s="71">
        <v>5000</v>
      </c>
      <c r="H63" s="177">
        <v>5000</v>
      </c>
      <c r="I63" s="177"/>
      <c r="J63" s="177"/>
      <c r="K63" s="119">
        <v>44500</v>
      </c>
      <c r="L63" s="210">
        <f t="shared" si="7"/>
        <v>445000000</v>
      </c>
      <c r="M63" s="211">
        <f t="shared" si="1"/>
        <v>222500000</v>
      </c>
      <c r="N63" s="212">
        <f t="shared" si="2"/>
        <v>222500000</v>
      </c>
      <c r="O63" s="213">
        <f t="shared" si="3"/>
        <v>0</v>
      </c>
      <c r="P63" s="682">
        <f t="shared" si="4"/>
        <v>0</v>
      </c>
      <c r="Q63" s="863" t="s">
        <v>4229</v>
      </c>
      <c r="R63" s="872" t="s">
        <v>4853</v>
      </c>
      <c r="S63" s="990">
        <v>10008</v>
      </c>
      <c r="T63" s="927">
        <f t="shared" si="5"/>
        <v>-8</v>
      </c>
      <c r="U63" s="848">
        <v>397918080</v>
      </c>
    </row>
    <row r="64" spans="1:21" ht="31.5">
      <c r="A64" s="177">
        <v>53</v>
      </c>
      <c r="B64" s="178" t="s">
        <v>558</v>
      </c>
      <c r="C64" s="178" t="s">
        <v>559</v>
      </c>
      <c r="D64" s="71">
        <f t="shared" si="8"/>
        <v>10000</v>
      </c>
      <c r="E64" s="73" t="s">
        <v>286</v>
      </c>
      <c r="F64" s="81" t="s">
        <v>557</v>
      </c>
      <c r="G64" s="71">
        <v>5000</v>
      </c>
      <c r="H64" s="177">
        <v>5000</v>
      </c>
      <c r="I64" s="177"/>
      <c r="J64" s="177"/>
      <c r="K64" s="119">
        <v>64000</v>
      </c>
      <c r="L64" s="210">
        <f t="shared" si="7"/>
        <v>640000000</v>
      </c>
      <c r="M64" s="211">
        <f t="shared" si="1"/>
        <v>320000000</v>
      </c>
      <c r="N64" s="212">
        <f t="shared" si="2"/>
        <v>320000000</v>
      </c>
      <c r="O64" s="213">
        <f t="shared" si="3"/>
        <v>0</v>
      </c>
      <c r="P64" s="682">
        <f t="shared" si="4"/>
        <v>0</v>
      </c>
      <c r="Q64" s="863" t="s">
        <v>4229</v>
      </c>
      <c r="R64" s="872"/>
      <c r="S64" s="990"/>
      <c r="T64" s="927">
        <f t="shared" si="5"/>
        <v>10000</v>
      </c>
      <c r="U64" s="848"/>
    </row>
    <row r="65" spans="1:21" ht="15.75">
      <c r="A65" s="1167" t="s">
        <v>2708</v>
      </c>
      <c r="B65" s="1168"/>
      <c r="C65" s="1168"/>
      <c r="D65" s="1168"/>
      <c r="E65" s="1168"/>
      <c r="F65" s="1168"/>
      <c r="G65" s="1168"/>
      <c r="H65" s="1168"/>
      <c r="I65" s="1168"/>
      <c r="J65" s="1169"/>
      <c r="K65" s="375"/>
      <c r="L65" s="374">
        <f>SUM(L58:L64)</f>
        <v>31278000000</v>
      </c>
      <c r="M65" s="374">
        <f>SUM(M58:M64)</f>
        <v>5942500000</v>
      </c>
      <c r="N65" s="374">
        <f>SUM(N58:N64)</f>
        <v>9317500000</v>
      </c>
      <c r="O65" s="374">
        <f>SUM(O58:O64)</f>
        <v>8398000000</v>
      </c>
      <c r="P65" s="683">
        <f>SUM(P58:P64)</f>
        <v>7620000000</v>
      </c>
      <c r="Q65" s="464"/>
      <c r="R65" s="884"/>
      <c r="S65" s="884"/>
      <c r="T65" s="464"/>
      <c r="U65" s="884"/>
    </row>
    <row r="66" spans="1:21">
      <c r="A66" s="174"/>
      <c r="B66" s="174"/>
      <c r="C66" s="174"/>
      <c r="D66" s="174"/>
      <c r="E66" s="174"/>
      <c r="F66" s="174"/>
      <c r="G66" s="174"/>
      <c r="H66" s="174"/>
      <c r="I66" s="174"/>
      <c r="J66" s="174"/>
      <c r="K66" s="174"/>
      <c r="L66" s="174"/>
      <c r="M66" s="174"/>
      <c r="N66" s="174"/>
      <c r="O66" s="174"/>
      <c r="P66" s="174"/>
      <c r="Q66" s="464"/>
      <c r="R66" s="884"/>
      <c r="S66" s="884"/>
      <c r="T66" s="383"/>
      <c r="U66" s="884"/>
    </row>
    <row r="67" spans="1:21" ht="15.75">
      <c r="A67" s="1167" t="s">
        <v>2993</v>
      </c>
      <c r="B67" s="1168"/>
      <c r="C67" s="1168"/>
      <c r="D67" s="1168"/>
      <c r="E67" s="1168"/>
      <c r="F67" s="1168"/>
      <c r="G67" s="1168"/>
      <c r="H67" s="1168"/>
      <c r="I67" s="1168"/>
      <c r="J67" s="1169"/>
      <c r="K67" s="375"/>
      <c r="L67" s="374">
        <f>SUM(L65,L57,L52,L48,L43)</f>
        <v>54815475384</v>
      </c>
      <c r="M67" s="374">
        <f>SUM(M65,M57,M52,M48,M43)</f>
        <v>12249506730</v>
      </c>
      <c r="N67" s="374">
        <f>SUM(N65,N57,N52,N48,N43)</f>
        <v>15974643428</v>
      </c>
      <c r="O67" s="374">
        <f>SUM(O65,O57,O52,O48,O43)</f>
        <v>15116059928</v>
      </c>
      <c r="P67" s="683">
        <f>SUM(P65,P57,P52,P48,P43)</f>
        <v>11475265298</v>
      </c>
      <c r="Q67" s="464"/>
      <c r="R67" s="884"/>
      <c r="S67" s="884"/>
      <c r="T67" s="383"/>
      <c r="U67" s="884"/>
    </row>
    <row r="71" spans="1:21">
      <c r="N71" s="448">
        <f>SUM(M67:P67)</f>
        <v>54815475384</v>
      </c>
    </row>
    <row r="72" spans="1:21">
      <c r="N72" s="448"/>
    </row>
    <row r="75" spans="1:21">
      <c r="O75" s="448"/>
    </row>
  </sheetData>
  <customSheetViews>
    <customSheetView guid="{750F99BE-5C19-4848-A09A-0E4FD0F9F8FC}" scale="85" hiddenRows="1" hiddenColumns="1" topLeftCell="C1">
      <selection activeCell="O79" sqref="O79"/>
      <pageMargins left="0.7" right="0.7" top="0.75" bottom="0.75" header="0.3" footer="0.3"/>
    </customSheetView>
    <customSheetView guid="{DEF9C65D-F8A0-4631-A6BF-69DD462E745F}" scale="85" hiddenRows="1" hiddenColumns="1" topLeftCell="C1">
      <selection activeCell="O79" sqref="O79"/>
      <pageMargins left="0.7" right="0.7" top="0.75" bottom="0.75" header="0.3" footer="0.3"/>
    </customSheetView>
    <customSheetView guid="{F53706EC-596C-4347-9C22-A701412B0A41}" scale="85" hiddenRows="1" hiddenColumns="1" topLeftCell="C1">
      <selection activeCell="O79" sqref="O79"/>
      <pageMargins left="0.7" right="0.7" top="0.75" bottom="0.75" header="0.3" footer="0.3"/>
    </customSheetView>
    <customSheetView guid="{93AFD236-396B-4FF3-AB41-05714D8754DB}" scale="85" hiddenRows="1" hiddenColumns="1" topLeftCell="C1">
      <selection activeCell="O79" sqref="O79"/>
      <pageMargins left="0.7" right="0.7" top="0.75" bottom="0.75" header="0.3" footer="0.3"/>
    </customSheetView>
  </customSheetViews>
  <mergeCells count="30">
    <mergeCell ref="P1:P2"/>
    <mergeCell ref="K1:K2"/>
    <mergeCell ref="L1:L2"/>
    <mergeCell ref="M1:M2"/>
    <mergeCell ref="N1:N2"/>
    <mergeCell ref="O1:O2"/>
    <mergeCell ref="F1:F2"/>
    <mergeCell ref="G1:J1"/>
    <mergeCell ref="A3:J3"/>
    <mergeCell ref="A43:J43"/>
    <mergeCell ref="A44:J44"/>
    <mergeCell ref="A1:A2"/>
    <mergeCell ref="B1:B2"/>
    <mergeCell ref="C1:C2"/>
    <mergeCell ref="D1:D2"/>
    <mergeCell ref="E1:E2"/>
    <mergeCell ref="A57:J57"/>
    <mergeCell ref="A58:J58"/>
    <mergeCell ref="A65:J65"/>
    <mergeCell ref="A67:J67"/>
    <mergeCell ref="K44:P44"/>
    <mergeCell ref="A48:J48"/>
    <mergeCell ref="A49:J49"/>
    <mergeCell ref="A52:J52"/>
    <mergeCell ref="A53:J53"/>
    <mergeCell ref="R1:R2"/>
    <mergeCell ref="S1:S2"/>
    <mergeCell ref="T1:T2"/>
    <mergeCell ref="U1:U2"/>
    <mergeCell ref="Q1:Q2"/>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U189"/>
  <sheetViews>
    <sheetView zoomScale="70" zoomScaleNormal="70" workbookViewId="0">
      <pane ySplit="2" topLeftCell="A3" activePane="bottomLeft" state="frozen"/>
      <selection pane="bottomLeft" activeCell="K1" sqref="K1:U1048576"/>
    </sheetView>
  </sheetViews>
  <sheetFormatPr defaultColWidth="18.85546875" defaultRowHeight="15"/>
  <cols>
    <col min="1" max="1" width="6.85546875" style="20" bestFit="1" customWidth="1"/>
    <col min="2" max="2" width="52.5703125" style="21" bestFit="1" customWidth="1"/>
    <col min="3" max="3" width="28.140625" style="21" bestFit="1" customWidth="1"/>
    <col min="4" max="4" width="14.28515625" style="20" bestFit="1" customWidth="1"/>
    <col min="5" max="5" width="17.140625" style="20" customWidth="1"/>
    <col min="6" max="6" width="31" style="20" hidden="1" customWidth="1"/>
    <col min="7" max="7" width="10.7109375" style="20" hidden="1" customWidth="1"/>
    <col min="8" max="8" width="10.85546875" style="20" hidden="1" customWidth="1"/>
    <col min="9" max="10" width="10.7109375" style="20" customWidth="1"/>
    <col min="11" max="11" width="23.7109375" style="235" hidden="1" customWidth="1"/>
    <col min="12" max="12" width="20" style="235" hidden="1" customWidth="1"/>
    <col min="13" max="13" width="25.28515625" style="235" hidden="1" customWidth="1"/>
    <col min="14" max="14" width="18.85546875" style="235" hidden="1" customWidth="1"/>
    <col min="15" max="15" width="21.42578125" style="235" hidden="1" customWidth="1"/>
    <col min="16" max="16" width="18.85546875" style="235" hidden="1" customWidth="1"/>
    <col min="17" max="17" width="42.42578125" style="20" hidden="1" customWidth="1"/>
    <col min="18" max="21" width="0" style="995" hidden="1" customWidth="1"/>
    <col min="22" max="16384" width="18.85546875" style="20"/>
  </cols>
  <sheetData>
    <row r="1" spans="1:21" ht="18.75">
      <c r="A1" s="1151" t="s">
        <v>595</v>
      </c>
      <c r="B1" s="1152" t="s">
        <v>272</v>
      </c>
      <c r="C1" s="1152" t="s">
        <v>273</v>
      </c>
      <c r="D1" s="1165" t="s">
        <v>274</v>
      </c>
      <c r="E1" s="1152" t="s">
        <v>1</v>
      </c>
      <c r="F1" s="1154" t="s">
        <v>275</v>
      </c>
      <c r="G1" s="1165" t="s">
        <v>2</v>
      </c>
      <c r="H1" s="1165"/>
      <c r="I1" s="1165"/>
      <c r="J1" s="1165"/>
      <c r="K1" s="1176" t="s">
        <v>2881</v>
      </c>
      <c r="L1" s="1176" t="s">
        <v>2882</v>
      </c>
      <c r="M1" s="1176" t="s">
        <v>2883</v>
      </c>
      <c r="N1" s="1176" t="s">
        <v>2884</v>
      </c>
      <c r="O1" s="1176" t="s">
        <v>2885</v>
      </c>
      <c r="P1" s="1176" t="s">
        <v>2886</v>
      </c>
      <c r="Q1" s="1088" t="s">
        <v>4230</v>
      </c>
      <c r="R1" s="1175" t="s">
        <v>4700</v>
      </c>
      <c r="S1" s="1175" t="s">
        <v>4701</v>
      </c>
      <c r="T1" s="1175" t="s">
        <v>4702</v>
      </c>
      <c r="U1" s="1175" t="s">
        <v>2882</v>
      </c>
    </row>
    <row r="2" spans="1:21" s="21" customFormat="1" ht="37.5">
      <c r="A2" s="1151"/>
      <c r="B2" s="1152"/>
      <c r="C2" s="1152"/>
      <c r="D2" s="1165"/>
      <c r="E2" s="1152"/>
      <c r="F2" s="1154"/>
      <c r="G2" s="122" t="s">
        <v>3</v>
      </c>
      <c r="H2" s="122" t="s">
        <v>4</v>
      </c>
      <c r="I2" s="122" t="s">
        <v>5</v>
      </c>
      <c r="J2" s="122" t="s">
        <v>6</v>
      </c>
      <c r="K2" s="1176"/>
      <c r="L2" s="1176"/>
      <c r="M2" s="1176"/>
      <c r="N2" s="1176"/>
      <c r="O2" s="1176"/>
      <c r="P2" s="1176"/>
      <c r="Q2" s="1089"/>
      <c r="R2" s="1175"/>
      <c r="S2" s="1175"/>
      <c r="T2" s="1175"/>
      <c r="U2" s="1175"/>
    </row>
    <row r="3" spans="1:21" ht="16.5" customHeight="1">
      <c r="A3" s="1170" t="s">
        <v>1218</v>
      </c>
      <c r="B3" s="1170"/>
      <c r="C3" s="1170"/>
      <c r="D3" s="1170"/>
      <c r="E3" s="1170"/>
      <c r="F3" s="1170"/>
      <c r="G3" s="1170"/>
      <c r="H3" s="1170"/>
      <c r="I3" s="1170"/>
      <c r="J3" s="1170"/>
      <c r="K3" s="232"/>
      <c r="L3" s="244">
        <f>SUM(L4:L130)</f>
        <v>22018122588.450001</v>
      </c>
      <c r="M3" s="244">
        <f>SUM(M4:M130)</f>
        <v>3103329747.1125002</v>
      </c>
      <c r="N3" s="244">
        <f>SUM(N4:N130)</f>
        <v>7504695347.1125002</v>
      </c>
      <c r="O3" s="244">
        <f>SUM(O4:O130)</f>
        <v>5537943747.1125002</v>
      </c>
      <c r="P3" s="921">
        <f>SUM(P4:P130)</f>
        <v>5509101747.1125002</v>
      </c>
      <c r="Q3" s="464"/>
      <c r="R3" s="872"/>
      <c r="S3" s="872"/>
      <c r="T3" s="872"/>
      <c r="U3" s="872"/>
    </row>
    <row r="4" spans="1:21" ht="28.5">
      <c r="A4" s="67">
        <v>1</v>
      </c>
      <c r="B4" s="123" t="s">
        <v>1004</v>
      </c>
      <c r="C4" s="67" t="s">
        <v>1005</v>
      </c>
      <c r="D4" s="84">
        <v>40</v>
      </c>
      <c r="E4" s="123" t="s">
        <v>414</v>
      </c>
      <c r="F4" s="123"/>
      <c r="G4" s="76"/>
      <c r="H4" s="76">
        <v>20</v>
      </c>
      <c r="I4" s="76">
        <f>D4/4</f>
        <v>10</v>
      </c>
      <c r="J4" s="76">
        <f>D4/4</f>
        <v>10</v>
      </c>
      <c r="K4" s="232">
        <v>5500000</v>
      </c>
      <c r="L4" s="232">
        <f>K4*D4</f>
        <v>220000000</v>
      </c>
      <c r="M4" s="232">
        <f>K4*G4</f>
        <v>0</v>
      </c>
      <c r="N4" s="232">
        <f>K4*H4</f>
        <v>110000000</v>
      </c>
      <c r="O4" s="232">
        <f>K4*I4</f>
        <v>55000000</v>
      </c>
      <c r="P4" s="922">
        <f>K4*J4</f>
        <v>55000000</v>
      </c>
      <c r="Q4" s="657" t="s">
        <v>4719</v>
      </c>
      <c r="R4" s="872" t="s">
        <v>4855</v>
      </c>
      <c r="S4" s="872">
        <v>10.5</v>
      </c>
      <c r="T4" s="486">
        <f>D4-S4</f>
        <v>29.5</v>
      </c>
      <c r="U4" s="993">
        <v>50998500</v>
      </c>
    </row>
    <row r="5" spans="1:21" ht="15.75">
      <c r="A5" s="67">
        <v>2</v>
      </c>
      <c r="B5" s="123" t="s">
        <v>1006</v>
      </c>
      <c r="C5" s="67"/>
      <c r="D5" s="69">
        <v>400</v>
      </c>
      <c r="E5" s="123" t="s">
        <v>27</v>
      </c>
      <c r="F5" s="123"/>
      <c r="G5" s="76"/>
      <c r="H5" s="76">
        <v>200</v>
      </c>
      <c r="I5" s="76">
        <f>D5/4</f>
        <v>100</v>
      </c>
      <c r="J5" s="76">
        <f>D5/4</f>
        <v>100</v>
      </c>
      <c r="K5" s="232">
        <v>12800</v>
      </c>
      <c r="L5" s="232">
        <f t="shared" ref="L5:L67" si="0">K5*D5</f>
        <v>5120000</v>
      </c>
      <c r="M5" s="232">
        <f t="shared" ref="M5:M67" si="1">K5*G5</f>
        <v>0</v>
      </c>
      <c r="N5" s="232">
        <f t="shared" ref="N5:N67" si="2">K5*H5</f>
        <v>2560000</v>
      </c>
      <c r="O5" s="232">
        <f t="shared" ref="O5:O67" si="3">K5*I5</f>
        <v>1280000</v>
      </c>
      <c r="P5" s="922">
        <f t="shared" ref="P5:P67" si="4">K5*J5</f>
        <v>1280000</v>
      </c>
      <c r="Q5" s="925" t="s">
        <v>4236</v>
      </c>
      <c r="R5" s="872"/>
      <c r="S5" s="872"/>
      <c r="T5" s="486">
        <f t="shared" ref="T5:T68" si="5">D5-S5</f>
        <v>400</v>
      </c>
      <c r="U5" s="993"/>
    </row>
    <row r="6" spans="1:21" ht="85.5">
      <c r="A6" s="67">
        <v>3</v>
      </c>
      <c r="B6" s="123" t="s">
        <v>1007</v>
      </c>
      <c r="C6" s="67" t="s">
        <v>1008</v>
      </c>
      <c r="D6" s="69">
        <v>40</v>
      </c>
      <c r="E6" s="123" t="s">
        <v>414</v>
      </c>
      <c r="F6" s="123"/>
      <c r="G6" s="76"/>
      <c r="H6" s="76">
        <v>20</v>
      </c>
      <c r="I6" s="76">
        <f>D6/4</f>
        <v>10</v>
      </c>
      <c r="J6" s="76">
        <f>D6/4</f>
        <v>10</v>
      </c>
      <c r="K6" s="232">
        <v>68000000</v>
      </c>
      <c r="L6" s="232">
        <f t="shared" si="0"/>
        <v>2720000000</v>
      </c>
      <c r="M6" s="232">
        <f t="shared" si="1"/>
        <v>0</v>
      </c>
      <c r="N6" s="232">
        <f t="shared" si="2"/>
        <v>1360000000</v>
      </c>
      <c r="O6" s="232">
        <f t="shared" si="3"/>
        <v>680000000</v>
      </c>
      <c r="P6" s="922">
        <f t="shared" si="4"/>
        <v>680000000</v>
      </c>
      <c r="Q6" s="909" t="s">
        <v>4857</v>
      </c>
      <c r="R6" s="872" t="s">
        <v>4856</v>
      </c>
      <c r="S6" s="872">
        <f>10+2+15</f>
        <v>27</v>
      </c>
      <c r="T6" s="486">
        <f t="shared" si="5"/>
        <v>13</v>
      </c>
      <c r="U6" s="993">
        <f>946292800+174800000+1350000000</f>
        <v>2471092800</v>
      </c>
    </row>
    <row r="7" spans="1:21" ht="57">
      <c r="A7" s="453">
        <v>4</v>
      </c>
      <c r="B7" s="123" t="s">
        <v>1009</v>
      </c>
      <c r="C7" s="67" t="s">
        <v>1010</v>
      </c>
      <c r="D7" s="69">
        <v>40</v>
      </c>
      <c r="E7" s="123" t="s">
        <v>414</v>
      </c>
      <c r="F7" s="123"/>
      <c r="G7" s="76"/>
      <c r="H7" s="76">
        <v>20</v>
      </c>
      <c r="I7" s="76">
        <f>D7/4</f>
        <v>10</v>
      </c>
      <c r="J7" s="76">
        <f>D7/4</f>
        <v>10</v>
      </c>
      <c r="K7" s="232">
        <v>82000000</v>
      </c>
      <c r="L7" s="232">
        <f t="shared" si="0"/>
        <v>3280000000</v>
      </c>
      <c r="M7" s="232">
        <f t="shared" si="1"/>
        <v>0</v>
      </c>
      <c r="N7" s="232">
        <f t="shared" si="2"/>
        <v>1640000000</v>
      </c>
      <c r="O7" s="232">
        <f t="shared" si="3"/>
        <v>820000000</v>
      </c>
      <c r="P7" s="922">
        <f t="shared" si="4"/>
        <v>820000000</v>
      </c>
      <c r="Q7" s="905" t="s">
        <v>4227</v>
      </c>
      <c r="R7" s="872" t="s">
        <v>4858</v>
      </c>
      <c r="S7" s="872">
        <f>10+5</f>
        <v>15</v>
      </c>
      <c r="T7" s="486">
        <f t="shared" si="5"/>
        <v>25</v>
      </c>
      <c r="U7" s="993">
        <f>784000000+392000000</f>
        <v>1176000000</v>
      </c>
    </row>
    <row r="8" spans="1:21" ht="85.5">
      <c r="A8" s="453">
        <v>5</v>
      </c>
      <c r="B8" s="123" t="s">
        <v>1011</v>
      </c>
      <c r="C8" s="67" t="s">
        <v>1012</v>
      </c>
      <c r="D8" s="69">
        <v>5</v>
      </c>
      <c r="E8" s="123" t="s">
        <v>414</v>
      </c>
      <c r="F8" s="123"/>
      <c r="G8" s="76"/>
      <c r="H8" s="76">
        <v>5</v>
      </c>
      <c r="I8" s="76">
        <v>0</v>
      </c>
      <c r="J8" s="76"/>
      <c r="K8" s="232">
        <v>9800000</v>
      </c>
      <c r="L8" s="232">
        <f t="shared" si="0"/>
        <v>49000000</v>
      </c>
      <c r="M8" s="232">
        <f t="shared" si="1"/>
        <v>0</v>
      </c>
      <c r="N8" s="232">
        <f t="shared" si="2"/>
        <v>49000000</v>
      </c>
      <c r="O8" s="232">
        <f t="shared" si="3"/>
        <v>0</v>
      </c>
      <c r="P8" s="922">
        <f t="shared" si="4"/>
        <v>0</v>
      </c>
      <c r="Q8" s="905" t="s">
        <v>4227</v>
      </c>
      <c r="R8" s="872" t="s">
        <v>4859</v>
      </c>
      <c r="S8" s="872">
        <f>1+1.5+0.1</f>
        <v>2.6</v>
      </c>
      <c r="T8" s="486">
        <f t="shared" si="5"/>
        <v>2.4</v>
      </c>
      <c r="U8" s="993">
        <f>9800000+14250000+1050000</f>
        <v>25100000</v>
      </c>
    </row>
    <row r="9" spans="1:21" ht="57">
      <c r="A9" s="453">
        <v>6</v>
      </c>
      <c r="B9" s="230" t="s">
        <v>1013</v>
      </c>
      <c r="C9" s="67" t="s">
        <v>1014</v>
      </c>
      <c r="D9" s="69">
        <f>G9+H9+I9+J9</f>
        <v>240000</v>
      </c>
      <c r="E9" s="65" t="s">
        <v>372</v>
      </c>
      <c r="F9" s="65"/>
      <c r="G9" s="69">
        <v>60000</v>
      </c>
      <c r="H9" s="231">
        <v>60000</v>
      </c>
      <c r="I9" s="231">
        <v>60000</v>
      </c>
      <c r="J9" s="231">
        <v>60000</v>
      </c>
      <c r="K9" s="232">
        <v>19800</v>
      </c>
      <c r="L9" s="232">
        <f t="shared" si="0"/>
        <v>4752000000</v>
      </c>
      <c r="M9" s="232">
        <f t="shared" si="1"/>
        <v>1188000000</v>
      </c>
      <c r="N9" s="232">
        <f t="shared" si="2"/>
        <v>1188000000</v>
      </c>
      <c r="O9" s="232">
        <f t="shared" si="3"/>
        <v>1188000000</v>
      </c>
      <c r="P9" s="922">
        <f t="shared" si="4"/>
        <v>1188000000</v>
      </c>
      <c r="Q9" s="905" t="s">
        <v>4227</v>
      </c>
      <c r="R9" s="872" t="s">
        <v>4861</v>
      </c>
      <c r="S9" s="998">
        <f>60000+60000</f>
        <v>120000</v>
      </c>
      <c r="T9" s="997">
        <f t="shared" si="5"/>
        <v>120000</v>
      </c>
      <c r="U9" s="993">
        <f>1142400000+1142400000</f>
        <v>2284800000</v>
      </c>
    </row>
    <row r="10" spans="1:21" ht="31.5">
      <c r="A10" s="453">
        <v>7</v>
      </c>
      <c r="B10" s="123" t="s">
        <v>1015</v>
      </c>
      <c r="C10" s="65" t="s">
        <v>1016</v>
      </c>
      <c r="D10" s="76">
        <v>40</v>
      </c>
      <c r="E10" s="67" t="s">
        <v>414</v>
      </c>
      <c r="F10" s="67"/>
      <c r="G10" s="76">
        <v>10</v>
      </c>
      <c r="H10" s="76">
        <v>10</v>
      </c>
      <c r="I10" s="76">
        <v>10</v>
      </c>
      <c r="J10" s="76">
        <v>10</v>
      </c>
      <c r="K10" s="232">
        <v>14500000</v>
      </c>
      <c r="L10" s="232">
        <f t="shared" si="0"/>
        <v>580000000</v>
      </c>
      <c r="M10" s="232">
        <f t="shared" si="1"/>
        <v>145000000</v>
      </c>
      <c r="N10" s="232">
        <f t="shared" si="2"/>
        <v>145000000</v>
      </c>
      <c r="O10" s="232">
        <f t="shared" si="3"/>
        <v>145000000</v>
      </c>
      <c r="P10" s="922">
        <f t="shared" si="4"/>
        <v>145000000</v>
      </c>
      <c r="Q10" s="905" t="s">
        <v>4227</v>
      </c>
      <c r="R10" s="872"/>
      <c r="S10" s="872"/>
      <c r="T10" s="486">
        <f t="shared" si="5"/>
        <v>40</v>
      </c>
      <c r="U10" s="993"/>
    </row>
    <row r="11" spans="1:21" ht="142.5">
      <c r="A11" s="453">
        <v>8</v>
      </c>
      <c r="B11" s="123" t="s">
        <v>1017</v>
      </c>
      <c r="C11" s="67" t="s">
        <v>1018</v>
      </c>
      <c r="D11" s="69">
        <v>70</v>
      </c>
      <c r="E11" s="123" t="s">
        <v>414</v>
      </c>
      <c r="F11" s="123"/>
      <c r="G11" s="76">
        <v>0</v>
      </c>
      <c r="H11" s="76">
        <v>20</v>
      </c>
      <c r="I11" s="76">
        <v>30</v>
      </c>
      <c r="J11" s="76">
        <v>20</v>
      </c>
      <c r="K11" s="232">
        <v>13500000</v>
      </c>
      <c r="L11" s="232">
        <f t="shared" si="0"/>
        <v>945000000</v>
      </c>
      <c r="M11" s="232">
        <f t="shared" si="1"/>
        <v>0</v>
      </c>
      <c r="N11" s="232">
        <f t="shared" si="2"/>
        <v>270000000</v>
      </c>
      <c r="O11" s="232">
        <f t="shared" si="3"/>
        <v>405000000</v>
      </c>
      <c r="P11" s="922">
        <f t="shared" si="4"/>
        <v>270000000</v>
      </c>
      <c r="Q11" s="905" t="s">
        <v>4227</v>
      </c>
      <c r="R11" s="872" t="s">
        <v>4862</v>
      </c>
      <c r="S11" s="872">
        <f>10+2+3+10+2.4</f>
        <v>27.4</v>
      </c>
      <c r="T11" s="486">
        <f t="shared" si="5"/>
        <v>42.6</v>
      </c>
      <c r="U11" s="993">
        <f>135000000+25000000+40500000+125000000+30000000</f>
        <v>355500000</v>
      </c>
    </row>
    <row r="12" spans="1:21" ht="31.5">
      <c r="A12" s="453">
        <v>9</v>
      </c>
      <c r="B12" s="123" t="s">
        <v>1019</v>
      </c>
      <c r="C12" s="123" t="s">
        <v>1020</v>
      </c>
      <c r="D12" s="69">
        <v>300</v>
      </c>
      <c r="E12" s="65" t="s">
        <v>126</v>
      </c>
      <c r="F12" s="65"/>
      <c r="G12" s="76">
        <f>D12/4</f>
        <v>75</v>
      </c>
      <c r="H12" s="76">
        <f>D12/4</f>
        <v>75</v>
      </c>
      <c r="I12" s="76">
        <f>D12/4</f>
        <v>75</v>
      </c>
      <c r="J12" s="76">
        <f>D12/4</f>
        <v>75</v>
      </c>
      <c r="K12" s="232">
        <v>1495260</v>
      </c>
      <c r="L12" s="232">
        <f t="shared" si="0"/>
        <v>448578000</v>
      </c>
      <c r="M12" s="232">
        <f t="shared" si="1"/>
        <v>112144500</v>
      </c>
      <c r="N12" s="232">
        <f t="shared" si="2"/>
        <v>112144500</v>
      </c>
      <c r="O12" s="232">
        <f t="shared" si="3"/>
        <v>112144500</v>
      </c>
      <c r="P12" s="922">
        <f t="shared" si="4"/>
        <v>112144500</v>
      </c>
      <c r="Q12" s="925" t="s">
        <v>4236</v>
      </c>
      <c r="R12" s="872"/>
      <c r="S12" s="872"/>
      <c r="T12" s="486">
        <f t="shared" si="5"/>
        <v>300</v>
      </c>
      <c r="U12" s="993"/>
    </row>
    <row r="13" spans="1:21" ht="31.5">
      <c r="A13" s="453">
        <v>10</v>
      </c>
      <c r="B13" s="123" t="s">
        <v>1021</v>
      </c>
      <c r="C13" s="123" t="s">
        <v>1022</v>
      </c>
      <c r="D13" s="69">
        <v>1000</v>
      </c>
      <c r="E13" s="65" t="s">
        <v>126</v>
      </c>
      <c r="F13" s="65"/>
      <c r="G13" s="76"/>
      <c r="H13" s="76">
        <v>500</v>
      </c>
      <c r="I13" s="76"/>
      <c r="J13" s="76">
        <v>500</v>
      </c>
      <c r="K13" s="232">
        <v>42000</v>
      </c>
      <c r="L13" s="232">
        <f t="shared" si="0"/>
        <v>42000000</v>
      </c>
      <c r="M13" s="232">
        <f t="shared" si="1"/>
        <v>0</v>
      </c>
      <c r="N13" s="232">
        <f t="shared" si="2"/>
        <v>21000000</v>
      </c>
      <c r="O13" s="232">
        <f t="shared" si="3"/>
        <v>0</v>
      </c>
      <c r="P13" s="922">
        <f t="shared" si="4"/>
        <v>21000000</v>
      </c>
      <c r="Q13" s="925" t="s">
        <v>4236</v>
      </c>
      <c r="R13" s="872"/>
      <c r="S13" s="872"/>
      <c r="T13" s="486">
        <f t="shared" si="5"/>
        <v>1000</v>
      </c>
      <c r="U13" s="993"/>
    </row>
    <row r="14" spans="1:21" ht="15.75">
      <c r="A14" s="453">
        <v>11</v>
      </c>
      <c r="B14" s="123" t="s">
        <v>1023</v>
      </c>
      <c r="C14" s="123"/>
      <c r="D14" s="69">
        <v>200</v>
      </c>
      <c r="E14" s="65" t="s">
        <v>126</v>
      </c>
      <c r="F14" s="65"/>
      <c r="G14" s="76"/>
      <c r="H14" s="76">
        <v>200</v>
      </c>
      <c r="I14" s="76"/>
      <c r="J14" s="76"/>
      <c r="K14" s="232">
        <v>38000</v>
      </c>
      <c r="L14" s="232">
        <f t="shared" si="0"/>
        <v>7600000</v>
      </c>
      <c r="M14" s="232">
        <f t="shared" si="1"/>
        <v>0</v>
      </c>
      <c r="N14" s="232">
        <f t="shared" si="2"/>
        <v>7600000</v>
      </c>
      <c r="O14" s="232">
        <f t="shared" si="3"/>
        <v>0</v>
      </c>
      <c r="P14" s="922">
        <f t="shared" si="4"/>
        <v>0</v>
      </c>
      <c r="Q14" s="925" t="s">
        <v>4236</v>
      </c>
      <c r="R14" s="872"/>
      <c r="S14" s="872"/>
      <c r="T14" s="486">
        <f t="shared" si="5"/>
        <v>200</v>
      </c>
      <c r="U14" s="993"/>
    </row>
    <row r="15" spans="1:21" ht="57">
      <c r="A15" s="453">
        <v>12</v>
      </c>
      <c r="B15" s="742" t="s">
        <v>4439</v>
      </c>
      <c r="C15" s="742"/>
      <c r="D15" s="69">
        <v>10000</v>
      </c>
      <c r="E15" s="452" t="s">
        <v>126</v>
      </c>
      <c r="F15" s="452"/>
      <c r="G15" s="76"/>
      <c r="H15" s="76">
        <v>3000</v>
      </c>
      <c r="I15" s="76">
        <v>3000</v>
      </c>
      <c r="J15" s="76">
        <v>4000</v>
      </c>
      <c r="K15" s="232">
        <v>34000</v>
      </c>
      <c r="L15" s="232">
        <f t="shared" si="0"/>
        <v>340000000</v>
      </c>
      <c r="M15" s="232">
        <f t="shared" si="1"/>
        <v>0</v>
      </c>
      <c r="N15" s="232">
        <f t="shared" si="2"/>
        <v>102000000</v>
      </c>
      <c r="O15" s="232"/>
      <c r="P15" s="922"/>
      <c r="Q15" s="999" t="s">
        <v>4742</v>
      </c>
      <c r="R15" s="872" t="s">
        <v>4863</v>
      </c>
      <c r="S15" s="872">
        <f>1000+500</f>
        <v>1500</v>
      </c>
      <c r="T15" s="486">
        <f t="shared" si="5"/>
        <v>8500</v>
      </c>
      <c r="U15" s="993">
        <f>15960000+13580000</f>
        <v>29540000</v>
      </c>
    </row>
    <row r="16" spans="1:21" ht="28.5">
      <c r="A16" s="453">
        <v>13</v>
      </c>
      <c r="B16" s="742" t="s">
        <v>4438</v>
      </c>
      <c r="C16" s="742"/>
      <c r="D16" s="69">
        <v>10000</v>
      </c>
      <c r="E16" s="452" t="s">
        <v>126</v>
      </c>
      <c r="F16" s="452"/>
      <c r="G16" s="76"/>
      <c r="H16" s="76">
        <v>3000</v>
      </c>
      <c r="I16" s="76">
        <v>3000</v>
      </c>
      <c r="J16" s="76">
        <v>4000</v>
      </c>
      <c r="K16" s="232">
        <v>18000</v>
      </c>
      <c r="L16" s="232">
        <f t="shared" si="0"/>
        <v>180000000</v>
      </c>
      <c r="M16" s="232">
        <f t="shared" si="1"/>
        <v>0</v>
      </c>
      <c r="N16" s="232">
        <f t="shared" si="2"/>
        <v>54000000</v>
      </c>
      <c r="O16" s="232"/>
      <c r="P16" s="922"/>
      <c r="Q16" s="999" t="s">
        <v>4742</v>
      </c>
      <c r="R16" s="872" t="s">
        <v>4864</v>
      </c>
      <c r="S16" s="872">
        <v>3000</v>
      </c>
      <c r="T16" s="486">
        <f t="shared" si="5"/>
        <v>7000</v>
      </c>
      <c r="U16" s="993">
        <v>17976000</v>
      </c>
    </row>
    <row r="17" spans="1:21" ht="15.75">
      <c r="A17" s="453">
        <v>14</v>
      </c>
      <c r="B17" s="123" t="s">
        <v>1024</v>
      </c>
      <c r="C17" s="67" t="s">
        <v>1025</v>
      </c>
      <c r="D17" s="69">
        <v>1000</v>
      </c>
      <c r="E17" s="123" t="s">
        <v>27</v>
      </c>
      <c r="F17" s="123"/>
      <c r="G17" s="76">
        <f t="shared" ref="G17:G28" si="6">D17/4</f>
        <v>250</v>
      </c>
      <c r="H17" s="76">
        <f t="shared" ref="H17:H28" si="7">D17/4</f>
        <v>250</v>
      </c>
      <c r="I17" s="76">
        <f t="shared" ref="I17:I28" si="8">D17/4</f>
        <v>250</v>
      </c>
      <c r="J17" s="76">
        <f t="shared" ref="J17:J28" si="9">D17/4</f>
        <v>250</v>
      </c>
      <c r="K17" s="232">
        <v>135000</v>
      </c>
      <c r="L17" s="232">
        <f t="shared" si="0"/>
        <v>135000000</v>
      </c>
      <c r="M17" s="232">
        <f t="shared" si="1"/>
        <v>33750000</v>
      </c>
      <c r="N17" s="232">
        <f t="shared" si="2"/>
        <v>33750000</v>
      </c>
      <c r="O17" s="232">
        <f t="shared" si="3"/>
        <v>33750000</v>
      </c>
      <c r="P17" s="922">
        <f t="shared" si="4"/>
        <v>33750000</v>
      </c>
      <c r="Q17" s="925" t="s">
        <v>4236</v>
      </c>
      <c r="R17" s="872"/>
      <c r="S17" s="872"/>
      <c r="T17" s="486">
        <f t="shared" si="5"/>
        <v>1000</v>
      </c>
      <c r="U17" s="993"/>
    </row>
    <row r="18" spans="1:21" ht="15.75">
      <c r="A18" s="453">
        <v>15</v>
      </c>
      <c r="B18" s="123" t="s">
        <v>1026</v>
      </c>
      <c r="C18" s="123" t="s">
        <v>1027</v>
      </c>
      <c r="D18" s="69">
        <v>380</v>
      </c>
      <c r="E18" s="123" t="s">
        <v>693</v>
      </c>
      <c r="F18" s="123"/>
      <c r="G18" s="76">
        <f t="shared" si="6"/>
        <v>95</v>
      </c>
      <c r="H18" s="76">
        <f t="shared" si="7"/>
        <v>95</v>
      </c>
      <c r="I18" s="76">
        <f t="shared" si="8"/>
        <v>95</v>
      </c>
      <c r="J18" s="76">
        <f t="shared" si="9"/>
        <v>95</v>
      </c>
      <c r="K18" s="232">
        <v>17000</v>
      </c>
      <c r="L18" s="232">
        <f t="shared" si="0"/>
        <v>6460000</v>
      </c>
      <c r="M18" s="232">
        <f t="shared" si="1"/>
        <v>1615000</v>
      </c>
      <c r="N18" s="232">
        <f t="shared" si="2"/>
        <v>1615000</v>
      </c>
      <c r="O18" s="232">
        <f t="shared" si="3"/>
        <v>1615000</v>
      </c>
      <c r="P18" s="922">
        <f t="shared" si="4"/>
        <v>1615000</v>
      </c>
      <c r="Q18" s="905" t="s">
        <v>4227</v>
      </c>
      <c r="R18" s="872"/>
      <c r="S18" s="872"/>
      <c r="T18" s="486">
        <f t="shared" si="5"/>
        <v>380</v>
      </c>
      <c r="U18" s="993"/>
    </row>
    <row r="19" spans="1:21" ht="15.75">
      <c r="A19" s="453">
        <v>16</v>
      </c>
      <c r="B19" s="123" t="s">
        <v>1028</v>
      </c>
      <c r="C19" s="123" t="s">
        <v>1029</v>
      </c>
      <c r="D19" s="69">
        <v>1400</v>
      </c>
      <c r="E19" s="123" t="s">
        <v>693</v>
      </c>
      <c r="F19" s="123"/>
      <c r="G19" s="76">
        <f t="shared" si="6"/>
        <v>350</v>
      </c>
      <c r="H19" s="76">
        <f t="shared" si="7"/>
        <v>350</v>
      </c>
      <c r="I19" s="76">
        <f t="shared" si="8"/>
        <v>350</v>
      </c>
      <c r="J19" s="76">
        <f t="shared" si="9"/>
        <v>350</v>
      </c>
      <c r="K19" s="232">
        <v>42000</v>
      </c>
      <c r="L19" s="232">
        <f t="shared" si="0"/>
        <v>58800000</v>
      </c>
      <c r="M19" s="232">
        <f t="shared" si="1"/>
        <v>14700000</v>
      </c>
      <c r="N19" s="232">
        <f t="shared" si="2"/>
        <v>14700000</v>
      </c>
      <c r="O19" s="232">
        <f t="shared" si="3"/>
        <v>14700000</v>
      </c>
      <c r="P19" s="922">
        <f t="shared" si="4"/>
        <v>14700000</v>
      </c>
      <c r="Q19" s="905" t="s">
        <v>4227</v>
      </c>
      <c r="R19" s="872"/>
      <c r="S19" s="872"/>
      <c r="T19" s="486">
        <f t="shared" si="5"/>
        <v>1400</v>
      </c>
      <c r="U19" s="993"/>
    </row>
    <row r="20" spans="1:21" ht="15.75">
      <c r="A20" s="453">
        <v>17</v>
      </c>
      <c r="B20" s="123" t="s">
        <v>1030</v>
      </c>
      <c r="C20" s="65" t="s">
        <v>1031</v>
      </c>
      <c r="D20" s="69">
        <v>300</v>
      </c>
      <c r="E20" s="123" t="s">
        <v>27</v>
      </c>
      <c r="F20" s="123"/>
      <c r="G20" s="76">
        <f t="shared" si="6"/>
        <v>75</v>
      </c>
      <c r="H20" s="76">
        <f t="shared" si="7"/>
        <v>75</v>
      </c>
      <c r="I20" s="76">
        <f t="shared" si="8"/>
        <v>75</v>
      </c>
      <c r="J20" s="76">
        <f t="shared" si="9"/>
        <v>75</v>
      </c>
      <c r="K20" s="232">
        <v>1100000</v>
      </c>
      <c r="L20" s="232">
        <f t="shared" si="0"/>
        <v>330000000</v>
      </c>
      <c r="M20" s="232">
        <f t="shared" si="1"/>
        <v>82500000</v>
      </c>
      <c r="N20" s="232">
        <f t="shared" si="2"/>
        <v>82500000</v>
      </c>
      <c r="O20" s="232">
        <f t="shared" si="3"/>
        <v>82500000</v>
      </c>
      <c r="P20" s="922">
        <f t="shared" si="4"/>
        <v>82500000</v>
      </c>
      <c r="Q20" s="928" t="s">
        <v>4235</v>
      </c>
      <c r="R20" s="872"/>
      <c r="S20" s="872"/>
      <c r="T20" s="486">
        <f t="shared" si="5"/>
        <v>300</v>
      </c>
      <c r="U20" s="993"/>
    </row>
    <row r="21" spans="1:21" ht="15.75">
      <c r="A21" s="453">
        <v>18</v>
      </c>
      <c r="B21" s="123" t="s">
        <v>1032</v>
      </c>
      <c r="C21" s="65" t="s">
        <v>1031</v>
      </c>
      <c r="D21" s="69">
        <v>40</v>
      </c>
      <c r="E21" s="123" t="s">
        <v>27</v>
      </c>
      <c r="F21" s="123"/>
      <c r="G21" s="76">
        <f t="shared" si="6"/>
        <v>10</v>
      </c>
      <c r="H21" s="76">
        <f t="shared" si="7"/>
        <v>10</v>
      </c>
      <c r="I21" s="76">
        <f t="shared" si="8"/>
        <v>10</v>
      </c>
      <c r="J21" s="76">
        <f t="shared" si="9"/>
        <v>10</v>
      </c>
      <c r="K21" s="232">
        <v>1100000</v>
      </c>
      <c r="L21" s="232">
        <f t="shared" si="0"/>
        <v>44000000</v>
      </c>
      <c r="M21" s="232">
        <f t="shared" si="1"/>
        <v>11000000</v>
      </c>
      <c r="N21" s="232">
        <f t="shared" si="2"/>
        <v>11000000</v>
      </c>
      <c r="O21" s="232">
        <f t="shared" si="3"/>
        <v>11000000</v>
      </c>
      <c r="P21" s="922">
        <f t="shared" si="4"/>
        <v>11000000</v>
      </c>
      <c r="Q21" s="928" t="s">
        <v>4235</v>
      </c>
      <c r="R21" s="872"/>
      <c r="S21" s="872"/>
      <c r="T21" s="486">
        <f t="shared" si="5"/>
        <v>40</v>
      </c>
      <c r="U21" s="993"/>
    </row>
    <row r="22" spans="1:21" ht="28.5">
      <c r="A22" s="453">
        <v>19</v>
      </c>
      <c r="B22" s="123" t="s">
        <v>1033</v>
      </c>
      <c r="C22" s="65" t="s">
        <v>1031</v>
      </c>
      <c r="D22" s="69">
        <v>1000</v>
      </c>
      <c r="E22" s="123" t="s">
        <v>27</v>
      </c>
      <c r="F22" s="123"/>
      <c r="G22" s="76">
        <f t="shared" si="6"/>
        <v>250</v>
      </c>
      <c r="H22" s="76">
        <f t="shared" si="7"/>
        <v>250</v>
      </c>
      <c r="I22" s="76">
        <f t="shared" si="8"/>
        <v>250</v>
      </c>
      <c r="J22" s="76">
        <f t="shared" si="9"/>
        <v>250</v>
      </c>
      <c r="K22" s="232">
        <v>1100000</v>
      </c>
      <c r="L22" s="232">
        <f t="shared" si="0"/>
        <v>1100000000</v>
      </c>
      <c r="M22" s="232">
        <f t="shared" si="1"/>
        <v>275000000</v>
      </c>
      <c r="N22" s="232">
        <f t="shared" si="2"/>
        <v>275000000</v>
      </c>
      <c r="O22" s="232">
        <f t="shared" si="3"/>
        <v>275000000</v>
      </c>
      <c r="P22" s="922">
        <f t="shared" si="4"/>
        <v>275000000</v>
      </c>
      <c r="Q22" s="928" t="s">
        <v>4235</v>
      </c>
      <c r="R22" s="872" t="s">
        <v>4865</v>
      </c>
      <c r="S22" s="872">
        <v>500</v>
      </c>
      <c r="T22" s="486">
        <f t="shared" si="5"/>
        <v>500</v>
      </c>
      <c r="U22" s="993">
        <v>412700000</v>
      </c>
    </row>
    <row r="23" spans="1:21" ht="15.75">
      <c r="A23" s="453">
        <v>20</v>
      </c>
      <c r="B23" s="123" t="s">
        <v>1034</v>
      </c>
      <c r="C23" s="65" t="s">
        <v>1031</v>
      </c>
      <c r="D23" s="69">
        <v>100</v>
      </c>
      <c r="E23" s="123" t="s">
        <v>27</v>
      </c>
      <c r="F23" s="123"/>
      <c r="G23" s="76">
        <f t="shared" si="6"/>
        <v>25</v>
      </c>
      <c r="H23" s="76">
        <f t="shared" si="7"/>
        <v>25</v>
      </c>
      <c r="I23" s="76">
        <f t="shared" si="8"/>
        <v>25</v>
      </c>
      <c r="J23" s="76">
        <f t="shared" si="9"/>
        <v>25</v>
      </c>
      <c r="K23" s="232">
        <v>1100000</v>
      </c>
      <c r="L23" s="232">
        <f t="shared" si="0"/>
        <v>110000000</v>
      </c>
      <c r="M23" s="232">
        <f t="shared" si="1"/>
        <v>27500000</v>
      </c>
      <c r="N23" s="232">
        <f t="shared" si="2"/>
        <v>27500000</v>
      </c>
      <c r="O23" s="232">
        <f t="shared" si="3"/>
        <v>27500000</v>
      </c>
      <c r="P23" s="922">
        <f t="shared" si="4"/>
        <v>27500000</v>
      </c>
      <c r="Q23" s="928" t="s">
        <v>4235</v>
      </c>
      <c r="R23" s="872"/>
      <c r="S23" s="872"/>
      <c r="T23" s="486">
        <f t="shared" si="5"/>
        <v>100</v>
      </c>
      <c r="U23" s="993"/>
    </row>
    <row r="24" spans="1:21" ht="85.5">
      <c r="A24" s="453">
        <v>21</v>
      </c>
      <c r="B24" s="123" t="s">
        <v>1035</v>
      </c>
      <c r="C24" s="67" t="s">
        <v>1036</v>
      </c>
      <c r="D24" s="69">
        <v>45</v>
      </c>
      <c r="E24" s="123" t="s">
        <v>414</v>
      </c>
      <c r="F24" s="123"/>
      <c r="G24" s="76">
        <v>0</v>
      </c>
      <c r="H24" s="76">
        <v>20</v>
      </c>
      <c r="I24" s="76">
        <v>20</v>
      </c>
      <c r="J24" s="76">
        <v>5</v>
      </c>
      <c r="K24" s="232">
        <v>15000000</v>
      </c>
      <c r="L24" s="232">
        <f t="shared" si="0"/>
        <v>675000000</v>
      </c>
      <c r="M24" s="232">
        <f t="shared" si="1"/>
        <v>0</v>
      </c>
      <c r="N24" s="232">
        <f t="shared" si="2"/>
        <v>300000000</v>
      </c>
      <c r="O24" s="232">
        <f t="shared" si="3"/>
        <v>300000000</v>
      </c>
      <c r="P24" s="922">
        <f t="shared" si="4"/>
        <v>75000000</v>
      </c>
      <c r="Q24" s="905" t="s">
        <v>4227</v>
      </c>
      <c r="R24" s="872" t="s">
        <v>4866</v>
      </c>
      <c r="S24" s="872">
        <f>2+10+5</f>
        <v>17</v>
      </c>
      <c r="T24" s="486">
        <f t="shared" si="5"/>
        <v>28</v>
      </c>
      <c r="U24" s="993">
        <f>29200000+115000000+64000000</f>
        <v>208200000</v>
      </c>
    </row>
    <row r="25" spans="1:21" ht="57">
      <c r="A25" s="453">
        <v>22</v>
      </c>
      <c r="B25" s="123" t="s">
        <v>1037</v>
      </c>
      <c r="C25" s="67"/>
      <c r="D25" s="69">
        <v>15</v>
      </c>
      <c r="E25" s="123" t="s">
        <v>414</v>
      </c>
      <c r="F25" s="123"/>
      <c r="G25" s="76">
        <f t="shared" si="6"/>
        <v>3.75</v>
      </c>
      <c r="H25" s="76">
        <f t="shared" si="7"/>
        <v>3.75</v>
      </c>
      <c r="I25" s="76">
        <f t="shared" si="8"/>
        <v>3.75</v>
      </c>
      <c r="J25" s="76">
        <f t="shared" si="9"/>
        <v>3.75</v>
      </c>
      <c r="K25" s="232">
        <v>13500000</v>
      </c>
      <c r="L25" s="232">
        <f t="shared" si="0"/>
        <v>202500000</v>
      </c>
      <c r="M25" s="232">
        <f t="shared" si="1"/>
        <v>50625000</v>
      </c>
      <c r="N25" s="232">
        <f t="shared" si="2"/>
        <v>50625000</v>
      </c>
      <c r="O25" s="232">
        <f t="shared" si="3"/>
        <v>50625000</v>
      </c>
      <c r="P25" s="922">
        <f t="shared" si="4"/>
        <v>50625000</v>
      </c>
      <c r="Q25" s="905" t="s">
        <v>4227</v>
      </c>
      <c r="R25" s="872" t="s">
        <v>4867</v>
      </c>
      <c r="S25" s="872">
        <f>5+2.4</f>
        <v>7.4</v>
      </c>
      <c r="T25" s="486">
        <f t="shared" si="5"/>
        <v>7.6</v>
      </c>
      <c r="U25" s="993">
        <f>63300000+32400000</f>
        <v>95700000</v>
      </c>
    </row>
    <row r="26" spans="1:21" ht="15.75">
      <c r="A26" s="453">
        <v>23</v>
      </c>
      <c r="B26" s="123" t="s">
        <v>1038</v>
      </c>
      <c r="C26" s="67" t="s">
        <v>1039</v>
      </c>
      <c r="D26" s="69">
        <v>14</v>
      </c>
      <c r="E26" s="123" t="s">
        <v>414</v>
      </c>
      <c r="F26" s="123"/>
      <c r="G26" s="76"/>
      <c r="H26" s="76">
        <v>7</v>
      </c>
      <c r="I26" s="76"/>
      <c r="J26" s="76">
        <v>7</v>
      </c>
      <c r="K26" s="232">
        <v>11000000</v>
      </c>
      <c r="L26" s="232">
        <f t="shared" si="0"/>
        <v>154000000</v>
      </c>
      <c r="M26" s="232">
        <f t="shared" si="1"/>
        <v>0</v>
      </c>
      <c r="N26" s="232">
        <f t="shared" si="2"/>
        <v>77000000</v>
      </c>
      <c r="O26" s="232">
        <f t="shared" si="3"/>
        <v>0</v>
      </c>
      <c r="P26" s="922">
        <f t="shared" si="4"/>
        <v>77000000</v>
      </c>
      <c r="Q26" s="905" t="s">
        <v>4227</v>
      </c>
      <c r="R26" s="872"/>
      <c r="S26" s="872"/>
      <c r="T26" s="486">
        <f t="shared" si="5"/>
        <v>14</v>
      </c>
      <c r="U26" s="993"/>
    </row>
    <row r="27" spans="1:21" ht="15.75">
      <c r="A27" s="453">
        <v>24</v>
      </c>
      <c r="B27" s="123" t="s">
        <v>1040</v>
      </c>
      <c r="C27" s="67" t="s">
        <v>1041</v>
      </c>
      <c r="D27" s="69">
        <v>14</v>
      </c>
      <c r="E27" s="123" t="s">
        <v>414</v>
      </c>
      <c r="F27" s="123"/>
      <c r="G27" s="76">
        <v>0</v>
      </c>
      <c r="H27" s="76">
        <v>7</v>
      </c>
      <c r="I27" s="76">
        <v>0</v>
      </c>
      <c r="J27" s="76">
        <v>7</v>
      </c>
      <c r="K27" s="232">
        <v>11000000</v>
      </c>
      <c r="L27" s="232">
        <f t="shared" si="0"/>
        <v>154000000</v>
      </c>
      <c r="M27" s="417">
        <f>K27*G27</f>
        <v>0</v>
      </c>
      <c r="N27" s="232">
        <f t="shared" si="2"/>
        <v>77000000</v>
      </c>
      <c r="O27" s="232">
        <f t="shared" si="3"/>
        <v>0</v>
      </c>
      <c r="P27" s="922">
        <f t="shared" si="4"/>
        <v>77000000</v>
      </c>
      <c r="Q27" s="905" t="s">
        <v>4227</v>
      </c>
      <c r="R27" s="872"/>
      <c r="S27" s="872"/>
      <c r="T27" s="486">
        <f t="shared" si="5"/>
        <v>14</v>
      </c>
      <c r="U27" s="993"/>
    </row>
    <row r="28" spans="1:21" ht="28.5">
      <c r="A28" s="453">
        <v>25</v>
      </c>
      <c r="B28" s="123" t="s">
        <v>1042</v>
      </c>
      <c r="C28" s="67" t="s">
        <v>1043</v>
      </c>
      <c r="D28" s="69">
        <v>500</v>
      </c>
      <c r="E28" s="123" t="s">
        <v>27</v>
      </c>
      <c r="F28" s="123"/>
      <c r="G28" s="76">
        <f t="shared" si="6"/>
        <v>125</v>
      </c>
      <c r="H28" s="76">
        <f t="shared" si="7"/>
        <v>125</v>
      </c>
      <c r="I28" s="76">
        <f t="shared" si="8"/>
        <v>125</v>
      </c>
      <c r="J28" s="76">
        <f t="shared" si="9"/>
        <v>125</v>
      </c>
      <c r="K28" s="232">
        <v>22000</v>
      </c>
      <c r="L28" s="232">
        <f t="shared" si="0"/>
        <v>11000000</v>
      </c>
      <c r="M28" s="232">
        <f t="shared" si="1"/>
        <v>2750000</v>
      </c>
      <c r="N28" s="232">
        <f t="shared" si="2"/>
        <v>2750000</v>
      </c>
      <c r="O28" s="232">
        <f t="shared" si="3"/>
        <v>2750000</v>
      </c>
      <c r="P28" s="922">
        <f t="shared" si="4"/>
        <v>2750000</v>
      </c>
      <c r="Q28" s="905" t="s">
        <v>4227</v>
      </c>
      <c r="R28" s="872" t="s">
        <v>4868</v>
      </c>
      <c r="S28" s="872">
        <f>250</f>
        <v>250</v>
      </c>
      <c r="T28" s="486">
        <f t="shared" si="5"/>
        <v>250</v>
      </c>
      <c r="U28" s="993">
        <v>3500000</v>
      </c>
    </row>
    <row r="29" spans="1:21" ht="15.75">
      <c r="A29" s="453">
        <v>26</v>
      </c>
      <c r="B29" s="123" t="s">
        <v>1044</v>
      </c>
      <c r="C29" s="67"/>
      <c r="D29" s="69">
        <v>40</v>
      </c>
      <c r="E29" s="123" t="s">
        <v>1176</v>
      </c>
      <c r="F29" s="123"/>
      <c r="G29" s="76">
        <v>20</v>
      </c>
      <c r="H29" s="76"/>
      <c r="I29" s="76">
        <v>20</v>
      </c>
      <c r="J29" s="76"/>
      <c r="K29" s="232">
        <v>185000</v>
      </c>
      <c r="L29" s="232">
        <f t="shared" si="0"/>
        <v>7400000</v>
      </c>
      <c r="M29" s="232">
        <f t="shared" si="1"/>
        <v>3700000</v>
      </c>
      <c r="N29" s="232">
        <f t="shared" si="2"/>
        <v>0</v>
      </c>
      <c r="O29" s="232">
        <f t="shared" si="3"/>
        <v>3700000</v>
      </c>
      <c r="P29" s="922">
        <f t="shared" si="4"/>
        <v>0</v>
      </c>
      <c r="Q29" s="905" t="s">
        <v>4227</v>
      </c>
      <c r="R29" s="872"/>
      <c r="S29" s="872"/>
      <c r="T29" s="486">
        <f t="shared" si="5"/>
        <v>40</v>
      </c>
      <c r="U29" s="993"/>
    </row>
    <row r="30" spans="1:21" ht="15.75">
      <c r="A30" s="453">
        <v>27</v>
      </c>
      <c r="B30" s="123" t="s">
        <v>1045</v>
      </c>
      <c r="C30" s="67"/>
      <c r="D30" s="69">
        <v>80</v>
      </c>
      <c r="E30" s="123" t="s">
        <v>286</v>
      </c>
      <c r="F30" s="123"/>
      <c r="G30" s="76"/>
      <c r="H30" s="76"/>
      <c r="I30" s="76">
        <v>80</v>
      </c>
      <c r="J30" s="76"/>
      <c r="K30" s="232">
        <v>128000</v>
      </c>
      <c r="L30" s="232">
        <f t="shared" si="0"/>
        <v>10240000</v>
      </c>
      <c r="M30" s="232">
        <f t="shared" si="1"/>
        <v>0</v>
      </c>
      <c r="N30" s="232">
        <f t="shared" si="2"/>
        <v>0</v>
      </c>
      <c r="O30" s="232">
        <f t="shared" si="3"/>
        <v>10240000</v>
      </c>
      <c r="P30" s="922">
        <f t="shared" si="4"/>
        <v>0</v>
      </c>
      <c r="Q30" s="905" t="s">
        <v>4227</v>
      </c>
      <c r="R30" s="872"/>
      <c r="S30" s="872"/>
      <c r="T30" s="486">
        <f t="shared" si="5"/>
        <v>80</v>
      </c>
      <c r="U30" s="993"/>
    </row>
    <row r="31" spans="1:21" ht="31.5">
      <c r="A31" s="453">
        <v>28</v>
      </c>
      <c r="B31" s="123" t="s">
        <v>1046</v>
      </c>
      <c r="C31" s="67" t="s">
        <v>1047</v>
      </c>
      <c r="D31" s="69">
        <v>28000</v>
      </c>
      <c r="E31" s="65" t="s">
        <v>126</v>
      </c>
      <c r="F31" s="65"/>
      <c r="G31" s="76">
        <f>D31/4</f>
        <v>7000</v>
      </c>
      <c r="H31" s="76">
        <f>D31/4</f>
        <v>7000</v>
      </c>
      <c r="I31" s="76">
        <f>D31/4</f>
        <v>7000</v>
      </c>
      <c r="J31" s="76">
        <f>D31/4</f>
        <v>7000</v>
      </c>
      <c r="K31" s="232">
        <v>39000</v>
      </c>
      <c r="L31" s="232">
        <f t="shared" si="0"/>
        <v>1092000000</v>
      </c>
      <c r="M31" s="232">
        <f t="shared" si="1"/>
        <v>273000000</v>
      </c>
      <c r="N31" s="232">
        <f t="shared" si="2"/>
        <v>273000000</v>
      </c>
      <c r="O31" s="232">
        <f t="shared" si="3"/>
        <v>273000000</v>
      </c>
      <c r="P31" s="922">
        <f t="shared" si="4"/>
        <v>273000000</v>
      </c>
      <c r="Q31" s="925" t="s">
        <v>4236</v>
      </c>
      <c r="R31" s="872"/>
      <c r="S31" s="872"/>
      <c r="T31" s="486">
        <f t="shared" si="5"/>
        <v>28000</v>
      </c>
      <c r="U31" s="993"/>
    </row>
    <row r="32" spans="1:21" ht="31.5">
      <c r="A32" s="453">
        <v>29</v>
      </c>
      <c r="B32" s="123" t="s">
        <v>1048</v>
      </c>
      <c r="C32" s="67"/>
      <c r="D32" s="69">
        <v>42</v>
      </c>
      <c r="E32" s="123" t="s">
        <v>126</v>
      </c>
      <c r="F32" s="123"/>
      <c r="G32" s="76">
        <f>D32/4</f>
        <v>10.5</v>
      </c>
      <c r="H32" s="76">
        <f>D32/4</f>
        <v>10.5</v>
      </c>
      <c r="I32" s="76">
        <f>D32/4</f>
        <v>10.5</v>
      </c>
      <c r="J32" s="76">
        <f>D32/4</f>
        <v>10.5</v>
      </c>
      <c r="K32" s="232">
        <v>380000</v>
      </c>
      <c r="L32" s="232">
        <f t="shared" si="0"/>
        <v>15960000</v>
      </c>
      <c r="M32" s="232">
        <f t="shared" si="1"/>
        <v>3990000</v>
      </c>
      <c r="N32" s="232">
        <f t="shared" si="2"/>
        <v>3990000</v>
      </c>
      <c r="O32" s="232">
        <f t="shared" si="3"/>
        <v>3990000</v>
      </c>
      <c r="P32" s="922">
        <f t="shared" si="4"/>
        <v>3990000</v>
      </c>
      <c r="Q32" s="925" t="s">
        <v>4236</v>
      </c>
      <c r="R32" s="872"/>
      <c r="S32" s="872"/>
      <c r="T32" s="486">
        <f t="shared" si="5"/>
        <v>42</v>
      </c>
      <c r="U32" s="993"/>
    </row>
    <row r="33" spans="1:21" ht="15.75">
      <c r="A33" s="453">
        <v>30</v>
      </c>
      <c r="B33" s="123" t="s">
        <v>1049</v>
      </c>
      <c r="C33" s="67" t="s">
        <v>1050</v>
      </c>
      <c r="D33" s="69">
        <v>10</v>
      </c>
      <c r="E33" s="123" t="s">
        <v>27</v>
      </c>
      <c r="F33" s="123"/>
      <c r="G33" s="76">
        <f>D33/4</f>
        <v>2.5</v>
      </c>
      <c r="H33" s="76">
        <f>D33/4</f>
        <v>2.5</v>
      </c>
      <c r="I33" s="76">
        <f>D33/4</f>
        <v>2.5</v>
      </c>
      <c r="J33" s="76">
        <f>D33/4</f>
        <v>2.5</v>
      </c>
      <c r="K33" s="232">
        <v>68000</v>
      </c>
      <c r="L33" s="232">
        <f t="shared" si="0"/>
        <v>680000</v>
      </c>
      <c r="M33" s="232">
        <f t="shared" si="1"/>
        <v>170000</v>
      </c>
      <c r="N33" s="232">
        <f t="shared" si="2"/>
        <v>170000</v>
      </c>
      <c r="O33" s="232">
        <f t="shared" si="3"/>
        <v>170000</v>
      </c>
      <c r="P33" s="922">
        <f t="shared" si="4"/>
        <v>170000</v>
      </c>
      <c r="Q33" s="905" t="s">
        <v>4227</v>
      </c>
      <c r="R33" s="872"/>
      <c r="S33" s="872"/>
      <c r="T33" s="486">
        <f t="shared" si="5"/>
        <v>10</v>
      </c>
      <c r="U33" s="993"/>
    </row>
    <row r="34" spans="1:21" ht="15.75">
      <c r="A34" s="453">
        <v>31</v>
      </c>
      <c r="B34" s="123" t="s">
        <v>1051</v>
      </c>
      <c r="C34" s="67"/>
      <c r="D34" s="69">
        <v>9</v>
      </c>
      <c r="E34" s="123" t="s">
        <v>1177</v>
      </c>
      <c r="F34" s="123"/>
      <c r="G34" s="76"/>
      <c r="H34" s="76">
        <v>9</v>
      </c>
      <c r="I34" s="76"/>
      <c r="J34" s="76"/>
      <c r="K34" s="232">
        <v>8736000</v>
      </c>
      <c r="L34" s="232">
        <f t="shared" si="0"/>
        <v>78624000</v>
      </c>
      <c r="M34" s="232">
        <f t="shared" si="1"/>
        <v>0</v>
      </c>
      <c r="N34" s="232">
        <f t="shared" si="2"/>
        <v>78624000</v>
      </c>
      <c r="O34" s="232">
        <f t="shared" si="3"/>
        <v>0</v>
      </c>
      <c r="P34" s="922">
        <f t="shared" si="4"/>
        <v>0</v>
      </c>
      <c r="Q34" s="925" t="s">
        <v>4236</v>
      </c>
      <c r="R34" s="872"/>
      <c r="S34" s="872"/>
      <c r="T34" s="486">
        <f t="shared" si="5"/>
        <v>9</v>
      </c>
      <c r="U34" s="993"/>
    </row>
    <row r="35" spans="1:21" ht="15.75">
      <c r="A35" s="453">
        <v>32</v>
      </c>
      <c r="B35" s="124" t="s">
        <v>1052</v>
      </c>
      <c r="C35" s="125"/>
      <c r="D35" s="125">
        <v>40</v>
      </c>
      <c r="E35" s="125" t="s">
        <v>27</v>
      </c>
      <c r="F35" s="125"/>
      <c r="G35" s="76">
        <f t="shared" ref="G35:G58" si="10">D35/4</f>
        <v>10</v>
      </c>
      <c r="H35" s="76">
        <f t="shared" ref="H35:H58" si="11">D35/4</f>
        <v>10</v>
      </c>
      <c r="I35" s="76">
        <f t="shared" ref="I35:I58" si="12">D35/4</f>
        <v>10</v>
      </c>
      <c r="J35" s="76">
        <f t="shared" ref="J35:J58" si="13">D35/4</f>
        <v>10</v>
      </c>
      <c r="K35" s="232">
        <v>42000</v>
      </c>
      <c r="L35" s="232">
        <f t="shared" si="0"/>
        <v>1680000</v>
      </c>
      <c r="M35" s="232">
        <f t="shared" si="1"/>
        <v>420000</v>
      </c>
      <c r="N35" s="232">
        <f t="shared" si="2"/>
        <v>420000</v>
      </c>
      <c r="O35" s="232">
        <f t="shared" si="3"/>
        <v>420000</v>
      </c>
      <c r="P35" s="922">
        <f t="shared" si="4"/>
        <v>420000</v>
      </c>
      <c r="Q35" s="905" t="s">
        <v>4227</v>
      </c>
      <c r="R35" s="872"/>
      <c r="S35" s="872"/>
      <c r="T35" s="486">
        <f t="shared" si="5"/>
        <v>40</v>
      </c>
      <c r="U35" s="993"/>
    </row>
    <row r="36" spans="1:21" ht="28.5">
      <c r="A36" s="453">
        <v>33</v>
      </c>
      <c r="B36" s="123" t="s">
        <v>1053</v>
      </c>
      <c r="C36" s="67" t="s">
        <v>1054</v>
      </c>
      <c r="D36" s="508">
        <v>50</v>
      </c>
      <c r="E36" s="123" t="s">
        <v>27</v>
      </c>
      <c r="F36" s="123"/>
      <c r="G36" s="76">
        <f t="shared" si="10"/>
        <v>12.5</v>
      </c>
      <c r="H36" s="76">
        <f t="shared" si="11"/>
        <v>12.5</v>
      </c>
      <c r="I36" s="76">
        <f t="shared" si="12"/>
        <v>12.5</v>
      </c>
      <c r="J36" s="76">
        <f t="shared" si="13"/>
        <v>12.5</v>
      </c>
      <c r="K36" s="232">
        <v>392000</v>
      </c>
      <c r="L36" s="232">
        <f t="shared" si="0"/>
        <v>19600000</v>
      </c>
      <c r="M36" s="232">
        <f t="shared" si="1"/>
        <v>4900000</v>
      </c>
      <c r="N36" s="232">
        <f t="shared" si="2"/>
        <v>4900000</v>
      </c>
      <c r="O36" s="232">
        <f t="shared" si="3"/>
        <v>4900000</v>
      </c>
      <c r="P36" s="922">
        <f t="shared" si="4"/>
        <v>4900000</v>
      </c>
      <c r="Q36" s="905" t="s">
        <v>4227</v>
      </c>
      <c r="R36" s="872" t="s">
        <v>4739</v>
      </c>
      <c r="S36" s="872">
        <v>10</v>
      </c>
      <c r="T36" s="486">
        <f t="shared" si="5"/>
        <v>40</v>
      </c>
      <c r="U36" s="993">
        <v>3920000</v>
      </c>
    </row>
    <row r="37" spans="1:21" ht="28.5">
      <c r="A37" s="453">
        <v>34</v>
      </c>
      <c r="B37" s="123" t="s">
        <v>1055</v>
      </c>
      <c r="C37" s="67" t="s">
        <v>1056</v>
      </c>
      <c r="D37" s="69">
        <v>11000</v>
      </c>
      <c r="E37" s="123" t="s">
        <v>27</v>
      </c>
      <c r="F37" s="123"/>
      <c r="G37" s="76">
        <f t="shared" si="10"/>
        <v>2750</v>
      </c>
      <c r="H37" s="76">
        <f t="shared" si="11"/>
        <v>2750</v>
      </c>
      <c r="I37" s="76">
        <f t="shared" si="12"/>
        <v>2750</v>
      </c>
      <c r="J37" s="76">
        <f t="shared" si="13"/>
        <v>2750</v>
      </c>
      <c r="K37" s="232">
        <v>48000</v>
      </c>
      <c r="L37" s="232">
        <f t="shared" si="0"/>
        <v>528000000</v>
      </c>
      <c r="M37" s="232">
        <f t="shared" si="1"/>
        <v>132000000</v>
      </c>
      <c r="N37" s="232">
        <f t="shared" si="2"/>
        <v>132000000</v>
      </c>
      <c r="O37" s="232">
        <f t="shared" si="3"/>
        <v>132000000</v>
      </c>
      <c r="P37" s="922">
        <f t="shared" si="4"/>
        <v>132000000</v>
      </c>
      <c r="Q37" s="905" t="s">
        <v>4227</v>
      </c>
      <c r="R37" s="872" t="s">
        <v>4740</v>
      </c>
      <c r="S37" s="872">
        <v>3000</v>
      </c>
      <c r="T37" s="486">
        <f t="shared" si="5"/>
        <v>8000</v>
      </c>
      <c r="U37" s="993">
        <v>134400000</v>
      </c>
    </row>
    <row r="38" spans="1:21" ht="57">
      <c r="A38" s="453">
        <v>35</v>
      </c>
      <c r="B38" s="123" t="s">
        <v>1057</v>
      </c>
      <c r="C38" s="67" t="s">
        <v>1058</v>
      </c>
      <c r="D38" s="69">
        <v>5500</v>
      </c>
      <c r="E38" s="123" t="s">
        <v>27</v>
      </c>
      <c r="F38" s="123"/>
      <c r="G38" s="76">
        <f t="shared" si="10"/>
        <v>1375</v>
      </c>
      <c r="H38" s="76">
        <f t="shared" si="11"/>
        <v>1375</v>
      </c>
      <c r="I38" s="76">
        <f t="shared" si="12"/>
        <v>1375</v>
      </c>
      <c r="J38" s="76">
        <f t="shared" si="13"/>
        <v>1375</v>
      </c>
      <c r="K38" s="232">
        <v>32000</v>
      </c>
      <c r="L38" s="232">
        <f t="shared" si="0"/>
        <v>176000000</v>
      </c>
      <c r="M38" s="232">
        <f t="shared" si="1"/>
        <v>44000000</v>
      </c>
      <c r="N38" s="232">
        <f t="shared" si="2"/>
        <v>44000000</v>
      </c>
      <c r="O38" s="232">
        <f t="shared" si="3"/>
        <v>44000000</v>
      </c>
      <c r="P38" s="922">
        <f t="shared" si="4"/>
        <v>44000000</v>
      </c>
      <c r="Q38" s="905" t="s">
        <v>4227</v>
      </c>
      <c r="R38" s="872" t="s">
        <v>4869</v>
      </c>
      <c r="S38" s="872">
        <f>1500+20</f>
        <v>1520</v>
      </c>
      <c r="T38" s="486">
        <f t="shared" si="5"/>
        <v>3980</v>
      </c>
      <c r="U38" s="993">
        <f>42000000+784000</f>
        <v>42784000</v>
      </c>
    </row>
    <row r="39" spans="1:21" ht="15.75">
      <c r="A39" s="453">
        <v>36</v>
      </c>
      <c r="B39" s="123" t="s">
        <v>1059</v>
      </c>
      <c r="C39" s="67" t="s">
        <v>1060</v>
      </c>
      <c r="D39" s="69">
        <v>4000</v>
      </c>
      <c r="E39" s="123" t="s">
        <v>27</v>
      </c>
      <c r="F39" s="123"/>
      <c r="G39" s="76">
        <f t="shared" si="10"/>
        <v>1000</v>
      </c>
      <c r="H39" s="76">
        <f t="shared" si="11"/>
        <v>1000</v>
      </c>
      <c r="I39" s="76">
        <f t="shared" si="12"/>
        <v>1000</v>
      </c>
      <c r="J39" s="76">
        <f t="shared" si="13"/>
        <v>1000</v>
      </c>
      <c r="K39" s="232">
        <v>56000</v>
      </c>
      <c r="L39" s="232">
        <f t="shared" si="0"/>
        <v>224000000</v>
      </c>
      <c r="M39" s="232">
        <f t="shared" si="1"/>
        <v>56000000</v>
      </c>
      <c r="N39" s="232">
        <f t="shared" si="2"/>
        <v>56000000</v>
      </c>
      <c r="O39" s="232">
        <f t="shared" si="3"/>
        <v>56000000</v>
      </c>
      <c r="P39" s="922">
        <f t="shared" si="4"/>
        <v>56000000</v>
      </c>
      <c r="Q39" s="905" t="s">
        <v>4227</v>
      </c>
      <c r="R39" s="872"/>
      <c r="S39" s="872"/>
      <c r="T39" s="486">
        <f t="shared" si="5"/>
        <v>4000</v>
      </c>
      <c r="U39" s="993"/>
    </row>
    <row r="40" spans="1:21" ht="15.75">
      <c r="A40" s="453">
        <v>37</v>
      </c>
      <c r="B40" s="123" t="s">
        <v>1061</v>
      </c>
      <c r="C40" s="67" t="s">
        <v>1062</v>
      </c>
      <c r="D40" s="69">
        <v>900</v>
      </c>
      <c r="E40" s="123" t="s">
        <v>27</v>
      </c>
      <c r="F40" s="123"/>
      <c r="G40" s="76">
        <f t="shared" si="10"/>
        <v>225</v>
      </c>
      <c r="H40" s="76">
        <f t="shared" si="11"/>
        <v>225</v>
      </c>
      <c r="I40" s="76">
        <f t="shared" si="12"/>
        <v>225</v>
      </c>
      <c r="J40" s="76">
        <f t="shared" si="13"/>
        <v>225</v>
      </c>
      <c r="K40" s="232">
        <v>39200</v>
      </c>
      <c r="L40" s="232">
        <f t="shared" si="0"/>
        <v>35280000</v>
      </c>
      <c r="M40" s="232">
        <f t="shared" si="1"/>
        <v>8820000</v>
      </c>
      <c r="N40" s="232">
        <f t="shared" si="2"/>
        <v>8820000</v>
      </c>
      <c r="O40" s="232">
        <f t="shared" si="3"/>
        <v>8820000</v>
      </c>
      <c r="P40" s="922">
        <f t="shared" si="4"/>
        <v>8820000</v>
      </c>
      <c r="Q40" s="905" t="s">
        <v>4227</v>
      </c>
      <c r="R40" s="872"/>
      <c r="S40" s="872"/>
      <c r="T40" s="486">
        <f t="shared" si="5"/>
        <v>900</v>
      </c>
      <c r="U40" s="993"/>
    </row>
    <row r="41" spans="1:21" ht="28.5">
      <c r="A41" s="453">
        <v>38</v>
      </c>
      <c r="B41" s="123" t="s">
        <v>1063</v>
      </c>
      <c r="C41" s="67"/>
      <c r="D41" s="69">
        <v>160</v>
      </c>
      <c r="E41" s="123" t="s">
        <v>27</v>
      </c>
      <c r="F41" s="123"/>
      <c r="G41" s="76">
        <f t="shared" si="10"/>
        <v>40</v>
      </c>
      <c r="H41" s="76">
        <f t="shared" si="11"/>
        <v>40</v>
      </c>
      <c r="I41" s="76">
        <f t="shared" si="12"/>
        <v>40</v>
      </c>
      <c r="J41" s="76">
        <f t="shared" si="13"/>
        <v>40</v>
      </c>
      <c r="K41" s="232">
        <v>1680000</v>
      </c>
      <c r="L41" s="232">
        <f t="shared" si="0"/>
        <v>268800000</v>
      </c>
      <c r="M41" s="232">
        <f t="shared" si="1"/>
        <v>67200000</v>
      </c>
      <c r="N41" s="232">
        <f t="shared" si="2"/>
        <v>67200000</v>
      </c>
      <c r="O41" s="232">
        <f t="shared" si="3"/>
        <v>67200000</v>
      </c>
      <c r="P41" s="922">
        <f t="shared" si="4"/>
        <v>67200000</v>
      </c>
      <c r="Q41" s="905" t="s">
        <v>4227</v>
      </c>
      <c r="R41" s="872" t="s">
        <v>4741</v>
      </c>
      <c r="S41" s="872">
        <v>50</v>
      </c>
      <c r="T41" s="486">
        <f t="shared" si="5"/>
        <v>110</v>
      </c>
      <c r="U41" s="993">
        <v>84000000</v>
      </c>
    </row>
    <row r="42" spans="1:21" ht="15.75">
      <c r="A42" s="453">
        <v>39</v>
      </c>
      <c r="B42" s="123" t="s">
        <v>1064</v>
      </c>
      <c r="C42" s="67" t="s">
        <v>1065</v>
      </c>
      <c r="D42" s="69">
        <v>500</v>
      </c>
      <c r="E42" s="123" t="s">
        <v>27</v>
      </c>
      <c r="F42" s="123"/>
      <c r="G42" s="76">
        <f t="shared" si="10"/>
        <v>125</v>
      </c>
      <c r="H42" s="76">
        <f t="shared" si="11"/>
        <v>125</v>
      </c>
      <c r="I42" s="76">
        <f t="shared" si="12"/>
        <v>125</v>
      </c>
      <c r="J42" s="76">
        <f t="shared" si="13"/>
        <v>125</v>
      </c>
      <c r="K42" s="232">
        <v>168000</v>
      </c>
      <c r="L42" s="232">
        <f t="shared" si="0"/>
        <v>84000000</v>
      </c>
      <c r="M42" s="232">
        <f t="shared" si="1"/>
        <v>21000000</v>
      </c>
      <c r="N42" s="232">
        <f t="shared" si="2"/>
        <v>21000000</v>
      </c>
      <c r="O42" s="232">
        <f t="shared" si="3"/>
        <v>21000000</v>
      </c>
      <c r="P42" s="922">
        <f t="shared" si="4"/>
        <v>21000000</v>
      </c>
      <c r="Q42" s="905" t="s">
        <v>4227</v>
      </c>
      <c r="R42" s="872"/>
      <c r="S42" s="872"/>
      <c r="T42" s="486">
        <f t="shared" si="5"/>
        <v>500</v>
      </c>
      <c r="U42" s="993"/>
    </row>
    <row r="43" spans="1:21" ht="15.75">
      <c r="A43" s="453">
        <v>40</v>
      </c>
      <c r="B43" s="123" t="s">
        <v>1066</v>
      </c>
      <c r="C43" s="67" t="s">
        <v>1067</v>
      </c>
      <c r="D43" s="69">
        <v>200</v>
      </c>
      <c r="E43" s="123" t="s">
        <v>27</v>
      </c>
      <c r="F43" s="123"/>
      <c r="G43" s="76">
        <f t="shared" si="10"/>
        <v>50</v>
      </c>
      <c r="H43" s="76">
        <f t="shared" si="11"/>
        <v>50</v>
      </c>
      <c r="I43" s="76">
        <f t="shared" si="12"/>
        <v>50</v>
      </c>
      <c r="J43" s="76">
        <f t="shared" si="13"/>
        <v>50</v>
      </c>
      <c r="K43" s="232">
        <v>336000</v>
      </c>
      <c r="L43" s="232">
        <f t="shared" si="0"/>
        <v>67200000</v>
      </c>
      <c r="M43" s="232">
        <f t="shared" si="1"/>
        <v>16800000</v>
      </c>
      <c r="N43" s="232">
        <f t="shared" si="2"/>
        <v>16800000</v>
      </c>
      <c r="O43" s="232">
        <f t="shared" si="3"/>
        <v>16800000</v>
      </c>
      <c r="P43" s="922">
        <f t="shared" si="4"/>
        <v>16800000</v>
      </c>
      <c r="Q43" s="905" t="s">
        <v>4227</v>
      </c>
      <c r="R43" s="872"/>
      <c r="S43" s="872"/>
      <c r="T43" s="486">
        <f t="shared" si="5"/>
        <v>200</v>
      </c>
      <c r="U43" s="993"/>
    </row>
    <row r="44" spans="1:21" ht="15.75">
      <c r="A44" s="453">
        <v>41</v>
      </c>
      <c r="B44" s="125" t="s">
        <v>1068</v>
      </c>
      <c r="C44" s="125"/>
      <c r="D44" s="125">
        <v>20</v>
      </c>
      <c r="E44" s="125" t="s">
        <v>27</v>
      </c>
      <c r="F44" s="125"/>
      <c r="G44" s="76">
        <f t="shared" si="10"/>
        <v>5</v>
      </c>
      <c r="H44" s="76">
        <f t="shared" si="11"/>
        <v>5</v>
      </c>
      <c r="I44" s="76">
        <f t="shared" si="12"/>
        <v>5</v>
      </c>
      <c r="J44" s="76">
        <f t="shared" si="13"/>
        <v>5</v>
      </c>
      <c r="K44" s="232">
        <v>78400</v>
      </c>
      <c r="L44" s="232">
        <f t="shared" si="0"/>
        <v>1568000</v>
      </c>
      <c r="M44" s="232">
        <f t="shared" si="1"/>
        <v>392000</v>
      </c>
      <c r="N44" s="232">
        <f t="shared" si="2"/>
        <v>392000</v>
      </c>
      <c r="O44" s="232">
        <f t="shared" si="3"/>
        <v>392000</v>
      </c>
      <c r="P44" s="922">
        <f t="shared" si="4"/>
        <v>392000</v>
      </c>
      <c r="Q44" s="905" t="s">
        <v>4227</v>
      </c>
      <c r="R44" s="872"/>
      <c r="S44" s="872"/>
      <c r="T44" s="486">
        <f t="shared" si="5"/>
        <v>20</v>
      </c>
      <c r="U44" s="993"/>
    </row>
    <row r="45" spans="1:21" ht="15.75">
      <c r="A45" s="453">
        <v>42</v>
      </c>
      <c r="B45" s="123" t="s">
        <v>1069</v>
      </c>
      <c r="C45" s="67" t="s">
        <v>1070</v>
      </c>
      <c r="D45" s="508">
        <v>10</v>
      </c>
      <c r="E45" s="67" t="s">
        <v>27</v>
      </c>
      <c r="F45" s="67"/>
      <c r="G45" s="76">
        <f t="shared" si="10"/>
        <v>2.5</v>
      </c>
      <c r="H45" s="76">
        <f t="shared" si="11"/>
        <v>2.5</v>
      </c>
      <c r="I45" s="76">
        <f t="shared" si="12"/>
        <v>2.5</v>
      </c>
      <c r="J45" s="76">
        <f t="shared" si="13"/>
        <v>2.5</v>
      </c>
      <c r="K45" s="232">
        <v>760000</v>
      </c>
      <c r="L45" s="232">
        <f t="shared" si="0"/>
        <v>7600000</v>
      </c>
      <c r="M45" s="232">
        <f t="shared" si="1"/>
        <v>1900000</v>
      </c>
      <c r="N45" s="232">
        <f t="shared" si="2"/>
        <v>1900000</v>
      </c>
      <c r="O45" s="232">
        <f t="shared" si="3"/>
        <v>1900000</v>
      </c>
      <c r="P45" s="922">
        <f t="shared" si="4"/>
        <v>1900000</v>
      </c>
      <c r="Q45" s="905" t="s">
        <v>4227</v>
      </c>
      <c r="R45" s="872"/>
      <c r="S45" s="872"/>
      <c r="T45" s="486">
        <f t="shared" si="5"/>
        <v>10</v>
      </c>
      <c r="U45" s="993"/>
    </row>
    <row r="46" spans="1:21" ht="15.75">
      <c r="A46" s="453">
        <v>43</v>
      </c>
      <c r="B46" s="123" t="s">
        <v>1071</v>
      </c>
      <c r="C46" s="67" t="s">
        <v>1072</v>
      </c>
      <c r="D46" s="69">
        <v>400</v>
      </c>
      <c r="E46" s="123" t="s">
        <v>27</v>
      </c>
      <c r="F46" s="123"/>
      <c r="G46" s="76">
        <f t="shared" si="10"/>
        <v>100</v>
      </c>
      <c r="H46" s="76">
        <f t="shared" si="11"/>
        <v>100</v>
      </c>
      <c r="I46" s="76">
        <f t="shared" si="12"/>
        <v>100</v>
      </c>
      <c r="J46" s="76">
        <f t="shared" si="13"/>
        <v>100</v>
      </c>
      <c r="K46" s="232">
        <v>260000</v>
      </c>
      <c r="L46" s="232">
        <f t="shared" si="0"/>
        <v>104000000</v>
      </c>
      <c r="M46" s="232">
        <f t="shared" si="1"/>
        <v>26000000</v>
      </c>
      <c r="N46" s="232">
        <f t="shared" si="2"/>
        <v>26000000</v>
      </c>
      <c r="O46" s="232">
        <f t="shared" si="3"/>
        <v>26000000</v>
      </c>
      <c r="P46" s="922">
        <f t="shared" si="4"/>
        <v>26000000</v>
      </c>
      <c r="Q46" s="926" t="s">
        <v>4237</v>
      </c>
      <c r="R46" s="872"/>
      <c r="S46" s="872"/>
      <c r="T46" s="486">
        <f t="shared" si="5"/>
        <v>400</v>
      </c>
      <c r="U46" s="993"/>
    </row>
    <row r="47" spans="1:21" ht="15.75">
      <c r="A47" s="453">
        <v>44</v>
      </c>
      <c r="B47" s="126" t="s">
        <v>1073</v>
      </c>
      <c r="C47" s="127"/>
      <c r="D47" s="126">
        <v>14</v>
      </c>
      <c r="E47" s="125" t="s">
        <v>27</v>
      </c>
      <c r="F47" s="125"/>
      <c r="G47" s="76">
        <f t="shared" si="10"/>
        <v>3.5</v>
      </c>
      <c r="H47" s="76">
        <f t="shared" si="11"/>
        <v>3.5</v>
      </c>
      <c r="I47" s="76">
        <f t="shared" si="12"/>
        <v>3.5</v>
      </c>
      <c r="J47" s="76">
        <f t="shared" si="13"/>
        <v>3.5</v>
      </c>
      <c r="K47" s="232">
        <v>560000</v>
      </c>
      <c r="L47" s="232">
        <f t="shared" si="0"/>
        <v>7840000</v>
      </c>
      <c r="M47" s="232">
        <f t="shared" si="1"/>
        <v>1960000</v>
      </c>
      <c r="N47" s="232">
        <f t="shared" si="2"/>
        <v>1960000</v>
      </c>
      <c r="O47" s="232">
        <f t="shared" si="3"/>
        <v>1960000</v>
      </c>
      <c r="P47" s="922">
        <f t="shared" si="4"/>
        <v>1960000</v>
      </c>
      <c r="Q47" s="925" t="s">
        <v>4236</v>
      </c>
      <c r="R47" s="872"/>
      <c r="S47" s="872"/>
      <c r="T47" s="486">
        <f t="shared" si="5"/>
        <v>14</v>
      </c>
      <c r="U47" s="993"/>
    </row>
    <row r="48" spans="1:21" ht="15.75">
      <c r="A48" s="453">
        <v>45</v>
      </c>
      <c r="B48" s="123" t="s">
        <v>1074</v>
      </c>
      <c r="C48" s="67" t="s">
        <v>1075</v>
      </c>
      <c r="D48" s="69">
        <v>50</v>
      </c>
      <c r="E48" s="123" t="s">
        <v>1178</v>
      </c>
      <c r="F48" s="123"/>
      <c r="G48" s="76">
        <f t="shared" si="10"/>
        <v>12.5</v>
      </c>
      <c r="H48" s="76">
        <f t="shared" si="11"/>
        <v>12.5</v>
      </c>
      <c r="I48" s="76">
        <f t="shared" si="12"/>
        <v>12.5</v>
      </c>
      <c r="J48" s="76">
        <f t="shared" si="13"/>
        <v>12.5</v>
      </c>
      <c r="K48" s="232">
        <v>89000</v>
      </c>
      <c r="L48" s="232">
        <f t="shared" si="0"/>
        <v>4450000</v>
      </c>
      <c r="M48" s="232">
        <f t="shared" si="1"/>
        <v>1112500</v>
      </c>
      <c r="N48" s="232">
        <f t="shared" si="2"/>
        <v>1112500</v>
      </c>
      <c r="O48" s="232">
        <f t="shared" si="3"/>
        <v>1112500</v>
      </c>
      <c r="P48" s="922">
        <f t="shared" si="4"/>
        <v>1112500</v>
      </c>
      <c r="Q48" s="905" t="s">
        <v>4227</v>
      </c>
      <c r="R48" s="872"/>
      <c r="S48" s="872"/>
      <c r="T48" s="486">
        <f t="shared" si="5"/>
        <v>50</v>
      </c>
      <c r="U48" s="993"/>
    </row>
    <row r="49" spans="1:21" ht="15.75">
      <c r="A49" s="453">
        <v>46</v>
      </c>
      <c r="B49" s="125" t="s">
        <v>1076</v>
      </c>
      <c r="C49" s="125"/>
      <c r="D49" s="125">
        <v>200</v>
      </c>
      <c r="E49" s="125" t="s">
        <v>27</v>
      </c>
      <c r="F49" s="125"/>
      <c r="G49" s="76">
        <f t="shared" si="10"/>
        <v>50</v>
      </c>
      <c r="H49" s="76">
        <f t="shared" si="11"/>
        <v>50</v>
      </c>
      <c r="I49" s="76">
        <f t="shared" si="12"/>
        <v>50</v>
      </c>
      <c r="J49" s="76">
        <f t="shared" si="13"/>
        <v>50</v>
      </c>
      <c r="K49" s="232">
        <v>112000</v>
      </c>
      <c r="L49" s="232">
        <f t="shared" si="0"/>
        <v>22400000</v>
      </c>
      <c r="M49" s="232">
        <f t="shared" si="1"/>
        <v>5600000</v>
      </c>
      <c r="N49" s="232">
        <f t="shared" si="2"/>
        <v>5600000</v>
      </c>
      <c r="O49" s="232">
        <f t="shared" si="3"/>
        <v>5600000</v>
      </c>
      <c r="P49" s="922">
        <f t="shared" si="4"/>
        <v>5600000</v>
      </c>
      <c r="Q49" s="905" t="s">
        <v>4227</v>
      </c>
      <c r="R49" s="872"/>
      <c r="S49" s="872"/>
      <c r="T49" s="486">
        <f t="shared" si="5"/>
        <v>200</v>
      </c>
      <c r="U49" s="993"/>
    </row>
    <row r="50" spans="1:21" ht="15.75">
      <c r="A50" s="453">
        <v>47</v>
      </c>
      <c r="B50" s="128" t="s">
        <v>1077</v>
      </c>
      <c r="C50" s="128" t="s">
        <v>1078</v>
      </c>
      <c r="D50" s="125">
        <v>1.7</v>
      </c>
      <c r="E50" s="125" t="s">
        <v>27</v>
      </c>
      <c r="F50" s="125"/>
      <c r="G50" s="76">
        <f t="shared" si="10"/>
        <v>0.42499999999999999</v>
      </c>
      <c r="H50" s="76">
        <f t="shared" si="11"/>
        <v>0.42499999999999999</v>
      </c>
      <c r="I50" s="76">
        <f t="shared" si="12"/>
        <v>0.42499999999999999</v>
      </c>
      <c r="J50" s="76">
        <f t="shared" si="13"/>
        <v>0.42499999999999999</v>
      </c>
      <c r="K50" s="232">
        <v>122850</v>
      </c>
      <c r="L50" s="232">
        <f t="shared" si="0"/>
        <v>208845</v>
      </c>
      <c r="M50" s="232">
        <f t="shared" si="1"/>
        <v>52211.25</v>
      </c>
      <c r="N50" s="232">
        <f t="shared" si="2"/>
        <v>52211.25</v>
      </c>
      <c r="O50" s="232">
        <f t="shared" si="3"/>
        <v>52211.25</v>
      </c>
      <c r="P50" s="922">
        <f t="shared" si="4"/>
        <v>52211.25</v>
      </c>
      <c r="Q50" s="905" t="s">
        <v>4227</v>
      </c>
      <c r="R50" s="872"/>
      <c r="S50" s="872"/>
      <c r="T50" s="486">
        <f t="shared" si="5"/>
        <v>1.7</v>
      </c>
      <c r="U50" s="993"/>
    </row>
    <row r="51" spans="1:21" ht="15.75">
      <c r="A51" s="453">
        <v>48</v>
      </c>
      <c r="B51" s="125" t="s">
        <v>1079</v>
      </c>
      <c r="C51" s="125" t="s">
        <v>1080</v>
      </c>
      <c r="D51" s="125">
        <v>90</v>
      </c>
      <c r="E51" s="125" t="s">
        <v>27</v>
      </c>
      <c r="F51" s="125"/>
      <c r="G51" s="76">
        <f t="shared" si="10"/>
        <v>22.5</v>
      </c>
      <c r="H51" s="76">
        <f t="shared" si="11"/>
        <v>22.5</v>
      </c>
      <c r="I51" s="76">
        <f t="shared" si="12"/>
        <v>22.5</v>
      </c>
      <c r="J51" s="76">
        <f t="shared" si="13"/>
        <v>22.5</v>
      </c>
      <c r="K51" s="232">
        <v>32000</v>
      </c>
      <c r="L51" s="232">
        <f t="shared" si="0"/>
        <v>2880000</v>
      </c>
      <c r="M51" s="232">
        <f t="shared" si="1"/>
        <v>720000</v>
      </c>
      <c r="N51" s="232">
        <f t="shared" si="2"/>
        <v>720000</v>
      </c>
      <c r="O51" s="232">
        <f t="shared" si="3"/>
        <v>720000</v>
      </c>
      <c r="P51" s="922">
        <f t="shared" si="4"/>
        <v>720000</v>
      </c>
      <c r="Q51" s="905" t="s">
        <v>4227</v>
      </c>
      <c r="R51" s="872"/>
      <c r="S51" s="872"/>
      <c r="T51" s="486">
        <f t="shared" si="5"/>
        <v>90</v>
      </c>
      <c r="U51" s="993"/>
    </row>
    <row r="52" spans="1:21" ht="15.75">
      <c r="A52" s="453">
        <v>49</v>
      </c>
      <c r="B52" s="125" t="s">
        <v>1081</v>
      </c>
      <c r="C52" s="125" t="s">
        <v>1082</v>
      </c>
      <c r="D52" s="125">
        <v>10</v>
      </c>
      <c r="E52" s="125" t="s">
        <v>27</v>
      </c>
      <c r="F52" s="125"/>
      <c r="G52" s="76">
        <f t="shared" si="10"/>
        <v>2.5</v>
      </c>
      <c r="H52" s="76">
        <f t="shared" si="11"/>
        <v>2.5</v>
      </c>
      <c r="I52" s="76">
        <f t="shared" si="12"/>
        <v>2.5</v>
      </c>
      <c r="J52" s="76">
        <f t="shared" si="13"/>
        <v>2.5</v>
      </c>
      <c r="K52" s="232">
        <v>112000</v>
      </c>
      <c r="L52" s="232">
        <f t="shared" si="0"/>
        <v>1120000</v>
      </c>
      <c r="M52" s="232">
        <f t="shared" si="1"/>
        <v>280000</v>
      </c>
      <c r="N52" s="232">
        <f t="shared" si="2"/>
        <v>280000</v>
      </c>
      <c r="O52" s="232">
        <f t="shared" si="3"/>
        <v>280000</v>
      </c>
      <c r="P52" s="922">
        <f t="shared" si="4"/>
        <v>280000</v>
      </c>
      <c r="Q52" s="905" t="s">
        <v>4227</v>
      </c>
      <c r="R52" s="872"/>
      <c r="S52" s="872"/>
      <c r="T52" s="486">
        <f t="shared" si="5"/>
        <v>10</v>
      </c>
      <c r="U52" s="993"/>
    </row>
    <row r="53" spans="1:21" ht="15.75">
      <c r="A53" s="453">
        <v>50</v>
      </c>
      <c r="B53" s="123" t="s">
        <v>1083</v>
      </c>
      <c r="C53" s="67" t="s">
        <v>1084</v>
      </c>
      <c r="D53" s="69">
        <v>140</v>
      </c>
      <c r="E53" s="123" t="s">
        <v>27</v>
      </c>
      <c r="F53" s="123"/>
      <c r="G53" s="76">
        <f t="shared" si="10"/>
        <v>35</v>
      </c>
      <c r="H53" s="76">
        <f t="shared" si="11"/>
        <v>35</v>
      </c>
      <c r="I53" s="76">
        <f t="shared" si="12"/>
        <v>35</v>
      </c>
      <c r="J53" s="76">
        <f t="shared" si="13"/>
        <v>35</v>
      </c>
      <c r="K53" s="232">
        <v>236000</v>
      </c>
      <c r="L53" s="232">
        <f t="shared" si="0"/>
        <v>33040000</v>
      </c>
      <c r="M53" s="232">
        <f t="shared" si="1"/>
        <v>8260000</v>
      </c>
      <c r="N53" s="232">
        <f t="shared" si="2"/>
        <v>8260000</v>
      </c>
      <c r="O53" s="232">
        <f t="shared" si="3"/>
        <v>8260000</v>
      </c>
      <c r="P53" s="922">
        <f t="shared" si="4"/>
        <v>8260000</v>
      </c>
      <c r="Q53" s="905" t="s">
        <v>4227</v>
      </c>
      <c r="R53" s="872"/>
      <c r="S53" s="872"/>
      <c r="T53" s="486">
        <f t="shared" si="5"/>
        <v>140</v>
      </c>
      <c r="U53" s="993"/>
    </row>
    <row r="54" spans="1:21" ht="15.75">
      <c r="A54" s="453">
        <v>51</v>
      </c>
      <c r="B54" s="123" t="s">
        <v>1085</v>
      </c>
      <c r="C54" s="67" t="s">
        <v>1086</v>
      </c>
      <c r="D54" s="69">
        <v>140</v>
      </c>
      <c r="E54" s="123" t="s">
        <v>27</v>
      </c>
      <c r="F54" s="123"/>
      <c r="G54" s="76">
        <f t="shared" si="10"/>
        <v>35</v>
      </c>
      <c r="H54" s="76">
        <f t="shared" si="11"/>
        <v>35</v>
      </c>
      <c r="I54" s="76">
        <f t="shared" si="12"/>
        <v>35</v>
      </c>
      <c r="J54" s="76">
        <f t="shared" si="13"/>
        <v>35</v>
      </c>
      <c r="K54" s="232">
        <v>48000</v>
      </c>
      <c r="L54" s="232">
        <f t="shared" si="0"/>
        <v>6720000</v>
      </c>
      <c r="M54" s="232">
        <f t="shared" si="1"/>
        <v>1680000</v>
      </c>
      <c r="N54" s="232">
        <f t="shared" si="2"/>
        <v>1680000</v>
      </c>
      <c r="O54" s="232">
        <f t="shared" si="3"/>
        <v>1680000</v>
      </c>
      <c r="P54" s="922">
        <f t="shared" si="4"/>
        <v>1680000</v>
      </c>
      <c r="Q54" s="925" t="s">
        <v>4236</v>
      </c>
      <c r="R54" s="872"/>
      <c r="S54" s="872"/>
      <c r="T54" s="486">
        <f t="shared" si="5"/>
        <v>140</v>
      </c>
      <c r="U54" s="993"/>
    </row>
    <row r="55" spans="1:21" ht="28.5">
      <c r="A55" s="453">
        <v>52</v>
      </c>
      <c r="B55" s="123" t="s">
        <v>1087</v>
      </c>
      <c r="C55" s="67" t="s">
        <v>1088</v>
      </c>
      <c r="D55" s="69">
        <v>200</v>
      </c>
      <c r="E55" s="123" t="s">
        <v>27</v>
      </c>
      <c r="F55" s="123"/>
      <c r="G55" s="76">
        <f t="shared" si="10"/>
        <v>50</v>
      </c>
      <c r="H55" s="76">
        <f t="shared" si="11"/>
        <v>50</v>
      </c>
      <c r="I55" s="76">
        <f t="shared" si="12"/>
        <v>50</v>
      </c>
      <c r="J55" s="76">
        <f t="shared" si="13"/>
        <v>50</v>
      </c>
      <c r="K55" s="232">
        <v>38000</v>
      </c>
      <c r="L55" s="232">
        <f t="shared" si="0"/>
        <v>7600000</v>
      </c>
      <c r="M55" s="232">
        <f t="shared" si="1"/>
        <v>1900000</v>
      </c>
      <c r="N55" s="232">
        <f t="shared" si="2"/>
        <v>1900000</v>
      </c>
      <c r="O55" s="232">
        <f t="shared" si="3"/>
        <v>1900000</v>
      </c>
      <c r="P55" s="922">
        <f t="shared" si="4"/>
        <v>1900000</v>
      </c>
      <c r="Q55" s="926" t="s">
        <v>4237</v>
      </c>
      <c r="R55" s="872" t="s">
        <v>4870</v>
      </c>
      <c r="S55" s="872" t="s">
        <v>4871</v>
      </c>
      <c r="T55" s="996" t="e">
        <f t="shared" si="5"/>
        <v>#VALUE!</v>
      </c>
      <c r="U55" s="993" t="s">
        <v>4871</v>
      </c>
    </row>
    <row r="56" spans="1:21" ht="15.75">
      <c r="A56" s="453">
        <v>53</v>
      </c>
      <c r="B56" s="123" t="s">
        <v>1089</v>
      </c>
      <c r="C56" s="67" t="s">
        <v>1090</v>
      </c>
      <c r="D56" s="69">
        <v>200</v>
      </c>
      <c r="E56" s="123" t="s">
        <v>126</v>
      </c>
      <c r="F56" s="123"/>
      <c r="G56" s="76">
        <f t="shared" si="10"/>
        <v>50</v>
      </c>
      <c r="H56" s="76">
        <f t="shared" si="11"/>
        <v>50</v>
      </c>
      <c r="I56" s="76">
        <f t="shared" si="12"/>
        <v>50</v>
      </c>
      <c r="J56" s="76">
        <f t="shared" si="13"/>
        <v>50</v>
      </c>
      <c r="K56" s="232">
        <v>41000</v>
      </c>
      <c r="L56" s="232">
        <f t="shared" si="0"/>
        <v>8200000</v>
      </c>
      <c r="M56" s="232">
        <f t="shared" si="1"/>
        <v>2050000</v>
      </c>
      <c r="N56" s="232">
        <f t="shared" si="2"/>
        <v>2050000</v>
      </c>
      <c r="O56" s="232">
        <f t="shared" si="3"/>
        <v>2050000</v>
      </c>
      <c r="P56" s="922">
        <f t="shared" si="4"/>
        <v>2050000</v>
      </c>
      <c r="Q56" s="925" t="s">
        <v>4236</v>
      </c>
      <c r="R56" s="872"/>
      <c r="S56" s="872"/>
      <c r="T56" s="486">
        <f t="shared" si="5"/>
        <v>200</v>
      </c>
      <c r="U56" s="993"/>
    </row>
    <row r="57" spans="1:21" ht="15.75">
      <c r="A57" s="453">
        <v>54</v>
      </c>
      <c r="B57" s="123" t="s">
        <v>1091</v>
      </c>
      <c r="C57" s="67" t="s">
        <v>1092</v>
      </c>
      <c r="D57" s="69">
        <v>400</v>
      </c>
      <c r="E57" s="123" t="s">
        <v>27</v>
      </c>
      <c r="F57" s="123"/>
      <c r="G57" s="76">
        <f t="shared" si="10"/>
        <v>100</v>
      </c>
      <c r="H57" s="76">
        <f t="shared" si="11"/>
        <v>100</v>
      </c>
      <c r="I57" s="76">
        <f t="shared" si="12"/>
        <v>100</v>
      </c>
      <c r="J57" s="76">
        <f t="shared" si="13"/>
        <v>100</v>
      </c>
      <c r="K57" s="232">
        <v>168000</v>
      </c>
      <c r="L57" s="232">
        <f t="shared" si="0"/>
        <v>67200000</v>
      </c>
      <c r="M57" s="232">
        <f t="shared" si="1"/>
        <v>16800000</v>
      </c>
      <c r="N57" s="232">
        <f t="shared" si="2"/>
        <v>16800000</v>
      </c>
      <c r="O57" s="232">
        <f t="shared" si="3"/>
        <v>16800000</v>
      </c>
      <c r="P57" s="922">
        <f t="shared" si="4"/>
        <v>16800000</v>
      </c>
      <c r="Q57" s="905" t="s">
        <v>4227</v>
      </c>
      <c r="R57" s="872"/>
      <c r="S57" s="872"/>
      <c r="T57" s="486">
        <f t="shared" si="5"/>
        <v>400</v>
      </c>
      <c r="U57" s="993"/>
    </row>
    <row r="58" spans="1:21" ht="15.75">
      <c r="A58" s="453">
        <v>55</v>
      </c>
      <c r="B58" s="123" t="s">
        <v>1093</v>
      </c>
      <c r="C58" s="67" t="s">
        <v>1092</v>
      </c>
      <c r="D58" s="69">
        <v>45</v>
      </c>
      <c r="E58" s="123" t="s">
        <v>1178</v>
      </c>
      <c r="F58" s="123"/>
      <c r="G58" s="76">
        <f t="shared" si="10"/>
        <v>11.25</v>
      </c>
      <c r="H58" s="76">
        <f t="shared" si="11"/>
        <v>11.25</v>
      </c>
      <c r="I58" s="76">
        <f t="shared" si="12"/>
        <v>11.25</v>
      </c>
      <c r="J58" s="76">
        <f t="shared" si="13"/>
        <v>11.25</v>
      </c>
      <c r="K58" s="232">
        <v>224000</v>
      </c>
      <c r="L58" s="232">
        <f t="shared" si="0"/>
        <v>10080000</v>
      </c>
      <c r="M58" s="232">
        <f t="shared" si="1"/>
        <v>2520000</v>
      </c>
      <c r="N58" s="232">
        <f t="shared" si="2"/>
        <v>2520000</v>
      </c>
      <c r="O58" s="232">
        <f t="shared" si="3"/>
        <v>2520000</v>
      </c>
      <c r="P58" s="922">
        <f t="shared" si="4"/>
        <v>2520000</v>
      </c>
      <c r="Q58" s="905" t="s">
        <v>4227</v>
      </c>
      <c r="R58" s="872"/>
      <c r="S58" s="872"/>
      <c r="T58" s="486">
        <f t="shared" si="5"/>
        <v>45</v>
      </c>
      <c r="U58" s="993"/>
    </row>
    <row r="59" spans="1:21" ht="15.75">
      <c r="A59" s="453">
        <v>56</v>
      </c>
      <c r="B59" s="125" t="s">
        <v>1094</v>
      </c>
      <c r="C59" s="129" t="s">
        <v>1095</v>
      </c>
      <c r="D59" s="125">
        <v>2</v>
      </c>
      <c r="E59" s="125" t="s">
        <v>27</v>
      </c>
      <c r="F59" s="125"/>
      <c r="G59" s="125">
        <v>0</v>
      </c>
      <c r="H59" s="125">
        <v>2</v>
      </c>
      <c r="I59" s="125">
        <v>0</v>
      </c>
      <c r="J59" s="125">
        <v>0</v>
      </c>
      <c r="K59" s="232">
        <v>44800</v>
      </c>
      <c r="L59" s="232">
        <f t="shared" si="0"/>
        <v>89600</v>
      </c>
      <c r="M59" s="232">
        <f t="shared" si="1"/>
        <v>0</v>
      </c>
      <c r="N59" s="232">
        <f t="shared" si="2"/>
        <v>89600</v>
      </c>
      <c r="O59" s="232">
        <f t="shared" si="3"/>
        <v>0</v>
      </c>
      <c r="P59" s="922">
        <f t="shared" si="4"/>
        <v>0</v>
      </c>
      <c r="Q59" s="905" t="s">
        <v>4227</v>
      </c>
      <c r="R59" s="872"/>
      <c r="S59" s="872"/>
      <c r="T59" s="486">
        <f t="shared" si="5"/>
        <v>2</v>
      </c>
      <c r="U59" s="993"/>
    </row>
    <row r="60" spans="1:21" ht="15.75">
      <c r="A60" s="453">
        <v>57</v>
      </c>
      <c r="B60" s="123" t="s">
        <v>1096</v>
      </c>
      <c r="C60" s="67" t="s">
        <v>1097</v>
      </c>
      <c r="D60" s="69">
        <v>100</v>
      </c>
      <c r="E60" s="123" t="s">
        <v>27</v>
      </c>
      <c r="F60" s="123"/>
      <c r="G60" s="76">
        <f t="shared" ref="G60:G93" si="14">D60/4</f>
        <v>25</v>
      </c>
      <c r="H60" s="76">
        <f t="shared" ref="H60:H91" si="15">D60/4</f>
        <v>25</v>
      </c>
      <c r="I60" s="76">
        <f t="shared" ref="I60:I91" si="16">D60/4</f>
        <v>25</v>
      </c>
      <c r="J60" s="76">
        <f t="shared" ref="J60:J93" si="17">D60/4</f>
        <v>25</v>
      </c>
      <c r="K60" s="232">
        <v>224000</v>
      </c>
      <c r="L60" s="232">
        <f t="shared" si="0"/>
        <v>22400000</v>
      </c>
      <c r="M60" s="232">
        <f t="shared" si="1"/>
        <v>5600000</v>
      </c>
      <c r="N60" s="232">
        <f t="shared" si="2"/>
        <v>5600000</v>
      </c>
      <c r="O60" s="232">
        <f t="shared" si="3"/>
        <v>5600000</v>
      </c>
      <c r="P60" s="922">
        <f t="shared" si="4"/>
        <v>5600000</v>
      </c>
      <c r="Q60" s="905" t="s">
        <v>4227</v>
      </c>
      <c r="R60" s="872"/>
      <c r="S60" s="872"/>
      <c r="T60" s="486">
        <f t="shared" si="5"/>
        <v>100</v>
      </c>
      <c r="U60" s="993"/>
    </row>
    <row r="61" spans="1:21" ht="15.75">
      <c r="A61" s="453">
        <v>58</v>
      </c>
      <c r="B61" s="123" t="s">
        <v>1098</v>
      </c>
      <c r="C61" s="67" t="s">
        <v>1099</v>
      </c>
      <c r="D61" s="69">
        <v>20</v>
      </c>
      <c r="E61" s="123" t="s">
        <v>27</v>
      </c>
      <c r="F61" s="123"/>
      <c r="G61" s="76">
        <f t="shared" si="14"/>
        <v>5</v>
      </c>
      <c r="H61" s="76">
        <f t="shared" si="15"/>
        <v>5</v>
      </c>
      <c r="I61" s="76">
        <f t="shared" si="16"/>
        <v>5</v>
      </c>
      <c r="J61" s="76">
        <f t="shared" si="17"/>
        <v>5</v>
      </c>
      <c r="K61" s="232">
        <v>859000</v>
      </c>
      <c r="L61" s="232">
        <f t="shared" si="0"/>
        <v>17180000</v>
      </c>
      <c r="M61" s="232">
        <f t="shared" si="1"/>
        <v>4295000</v>
      </c>
      <c r="N61" s="232">
        <f t="shared" si="2"/>
        <v>4295000</v>
      </c>
      <c r="O61" s="232">
        <f t="shared" si="3"/>
        <v>4295000</v>
      </c>
      <c r="P61" s="922">
        <f t="shared" si="4"/>
        <v>4295000</v>
      </c>
      <c r="Q61" s="905" t="s">
        <v>4227</v>
      </c>
      <c r="R61" s="872"/>
      <c r="S61" s="872"/>
      <c r="T61" s="486">
        <f t="shared" si="5"/>
        <v>20</v>
      </c>
      <c r="U61" s="993"/>
    </row>
    <row r="62" spans="1:21" ht="15.75">
      <c r="A62" s="453">
        <v>59</v>
      </c>
      <c r="B62" s="123" t="s">
        <v>1100</v>
      </c>
      <c r="C62" s="67" t="s">
        <v>1101</v>
      </c>
      <c r="D62" s="508">
        <v>130</v>
      </c>
      <c r="E62" s="67" t="s">
        <v>27</v>
      </c>
      <c r="F62" s="67"/>
      <c r="G62" s="76">
        <f t="shared" si="14"/>
        <v>32.5</v>
      </c>
      <c r="H62" s="76">
        <f t="shared" si="15"/>
        <v>32.5</v>
      </c>
      <c r="I62" s="76">
        <f t="shared" si="16"/>
        <v>32.5</v>
      </c>
      <c r="J62" s="76">
        <f t="shared" si="17"/>
        <v>32.5</v>
      </c>
      <c r="K62" s="232">
        <v>9200</v>
      </c>
      <c r="L62" s="232">
        <f t="shared" si="0"/>
        <v>1196000</v>
      </c>
      <c r="M62" s="232">
        <f t="shared" si="1"/>
        <v>299000</v>
      </c>
      <c r="N62" s="232">
        <f t="shared" si="2"/>
        <v>299000</v>
      </c>
      <c r="O62" s="232">
        <f t="shared" si="3"/>
        <v>299000</v>
      </c>
      <c r="P62" s="922">
        <f t="shared" si="4"/>
        <v>299000</v>
      </c>
      <c r="Q62" s="905" t="s">
        <v>4227</v>
      </c>
      <c r="R62" s="872"/>
      <c r="S62" s="872"/>
      <c r="T62" s="486">
        <f t="shared" si="5"/>
        <v>130</v>
      </c>
      <c r="U62" s="993"/>
    </row>
    <row r="63" spans="1:21" ht="15.75">
      <c r="A63" s="453">
        <v>60</v>
      </c>
      <c r="B63" s="123" t="s">
        <v>1102</v>
      </c>
      <c r="C63" s="67" t="s">
        <v>1103</v>
      </c>
      <c r="D63" s="69">
        <v>110</v>
      </c>
      <c r="E63" s="123" t="s">
        <v>27</v>
      </c>
      <c r="F63" s="123"/>
      <c r="G63" s="76">
        <f t="shared" si="14"/>
        <v>27.5</v>
      </c>
      <c r="H63" s="76">
        <f t="shared" si="15"/>
        <v>27.5</v>
      </c>
      <c r="I63" s="76">
        <f t="shared" si="16"/>
        <v>27.5</v>
      </c>
      <c r="J63" s="76">
        <f t="shared" si="17"/>
        <v>27.5</v>
      </c>
      <c r="K63" s="232">
        <v>69000</v>
      </c>
      <c r="L63" s="232">
        <f t="shared" si="0"/>
        <v>7590000</v>
      </c>
      <c r="M63" s="232">
        <f t="shared" si="1"/>
        <v>1897500</v>
      </c>
      <c r="N63" s="232">
        <f t="shared" si="2"/>
        <v>1897500</v>
      </c>
      <c r="O63" s="232">
        <f t="shared" si="3"/>
        <v>1897500</v>
      </c>
      <c r="P63" s="922">
        <f t="shared" si="4"/>
        <v>1897500</v>
      </c>
      <c r="Q63" s="905" t="s">
        <v>4227</v>
      </c>
      <c r="R63" s="872"/>
      <c r="S63" s="872"/>
      <c r="T63" s="486">
        <f t="shared" si="5"/>
        <v>110</v>
      </c>
      <c r="U63" s="993"/>
    </row>
    <row r="64" spans="1:21" ht="15.75">
      <c r="A64" s="453">
        <v>61</v>
      </c>
      <c r="B64" s="125" t="s">
        <v>1104</v>
      </c>
      <c r="C64" s="125" t="s">
        <v>1105</v>
      </c>
      <c r="D64" s="125">
        <v>5</v>
      </c>
      <c r="E64" s="125" t="s">
        <v>27</v>
      </c>
      <c r="F64" s="125"/>
      <c r="G64" s="76">
        <f t="shared" si="14"/>
        <v>1.25</v>
      </c>
      <c r="H64" s="76">
        <f t="shared" si="15"/>
        <v>1.25</v>
      </c>
      <c r="I64" s="76">
        <f t="shared" si="16"/>
        <v>1.25</v>
      </c>
      <c r="J64" s="76">
        <f t="shared" si="17"/>
        <v>1.25</v>
      </c>
      <c r="K64" s="232">
        <v>18000</v>
      </c>
      <c r="L64" s="232">
        <f t="shared" si="0"/>
        <v>90000</v>
      </c>
      <c r="M64" s="232">
        <f t="shared" si="1"/>
        <v>22500</v>
      </c>
      <c r="N64" s="232">
        <f t="shared" si="2"/>
        <v>22500</v>
      </c>
      <c r="O64" s="232">
        <f t="shared" si="3"/>
        <v>22500</v>
      </c>
      <c r="P64" s="922">
        <f t="shared" si="4"/>
        <v>22500</v>
      </c>
      <c r="Q64" s="905" t="s">
        <v>4227</v>
      </c>
      <c r="R64" s="872"/>
      <c r="S64" s="872"/>
      <c r="T64" s="486">
        <f t="shared" si="5"/>
        <v>5</v>
      </c>
      <c r="U64" s="993"/>
    </row>
    <row r="65" spans="1:21" ht="15.75">
      <c r="A65" s="453">
        <v>62</v>
      </c>
      <c r="B65" s="125" t="s">
        <v>1106</v>
      </c>
      <c r="C65" s="125" t="s">
        <v>1107</v>
      </c>
      <c r="D65" s="125">
        <v>100</v>
      </c>
      <c r="E65" s="125" t="s">
        <v>27</v>
      </c>
      <c r="F65" s="125"/>
      <c r="G65" s="76">
        <f t="shared" si="14"/>
        <v>25</v>
      </c>
      <c r="H65" s="76">
        <f t="shared" si="15"/>
        <v>25</v>
      </c>
      <c r="I65" s="76">
        <f t="shared" si="16"/>
        <v>25</v>
      </c>
      <c r="J65" s="76">
        <f t="shared" si="17"/>
        <v>25</v>
      </c>
      <c r="K65" s="232">
        <v>112000</v>
      </c>
      <c r="L65" s="232">
        <f t="shared" si="0"/>
        <v>11200000</v>
      </c>
      <c r="M65" s="232">
        <f t="shared" si="1"/>
        <v>2800000</v>
      </c>
      <c r="N65" s="232">
        <f t="shared" si="2"/>
        <v>2800000</v>
      </c>
      <c r="O65" s="232">
        <f t="shared" si="3"/>
        <v>2800000</v>
      </c>
      <c r="P65" s="922">
        <f t="shared" si="4"/>
        <v>2800000</v>
      </c>
      <c r="Q65" s="905" t="s">
        <v>4227</v>
      </c>
      <c r="R65" s="872"/>
      <c r="S65" s="872"/>
      <c r="T65" s="486">
        <f t="shared" si="5"/>
        <v>100</v>
      </c>
      <c r="U65" s="993"/>
    </row>
    <row r="66" spans="1:21" ht="15.75">
      <c r="A66" s="453">
        <v>63</v>
      </c>
      <c r="B66" s="125" t="s">
        <v>1108</v>
      </c>
      <c r="C66" s="125" t="s">
        <v>1109</v>
      </c>
      <c r="D66" s="125">
        <v>1.7</v>
      </c>
      <c r="E66" s="125" t="s">
        <v>27</v>
      </c>
      <c r="F66" s="125"/>
      <c r="G66" s="76">
        <f t="shared" si="14"/>
        <v>0.42499999999999999</v>
      </c>
      <c r="H66" s="76">
        <f t="shared" si="15"/>
        <v>0.42499999999999999</v>
      </c>
      <c r="I66" s="76">
        <f t="shared" si="16"/>
        <v>0.42499999999999999</v>
      </c>
      <c r="J66" s="76">
        <f t="shared" si="17"/>
        <v>0.42499999999999999</v>
      </c>
      <c r="K66" s="232">
        <v>17000</v>
      </c>
      <c r="L66" s="232">
        <f t="shared" si="0"/>
        <v>28900</v>
      </c>
      <c r="M66" s="232">
        <f t="shared" si="1"/>
        <v>7225</v>
      </c>
      <c r="N66" s="232">
        <f t="shared" si="2"/>
        <v>7225</v>
      </c>
      <c r="O66" s="232">
        <f t="shared" si="3"/>
        <v>7225</v>
      </c>
      <c r="P66" s="922">
        <f t="shared" si="4"/>
        <v>7225</v>
      </c>
      <c r="Q66" s="905" t="s">
        <v>4227</v>
      </c>
      <c r="R66" s="872"/>
      <c r="S66" s="872"/>
      <c r="T66" s="486">
        <f t="shared" si="5"/>
        <v>1.7</v>
      </c>
      <c r="U66" s="993"/>
    </row>
    <row r="67" spans="1:21" ht="28.5">
      <c r="A67" s="453">
        <v>64</v>
      </c>
      <c r="B67" s="124" t="s">
        <v>1110</v>
      </c>
      <c r="C67" s="125"/>
      <c r="D67" s="125">
        <v>0.2</v>
      </c>
      <c r="E67" s="125" t="s">
        <v>27</v>
      </c>
      <c r="F67" s="125"/>
      <c r="G67" s="76">
        <f t="shared" si="14"/>
        <v>0.05</v>
      </c>
      <c r="H67" s="76">
        <f t="shared" si="15"/>
        <v>0.05</v>
      </c>
      <c r="I67" s="76">
        <f t="shared" si="16"/>
        <v>0.05</v>
      </c>
      <c r="J67" s="76">
        <f t="shared" si="17"/>
        <v>0.05</v>
      </c>
      <c r="K67" s="232">
        <v>22000</v>
      </c>
      <c r="L67" s="232">
        <f t="shared" si="0"/>
        <v>4400</v>
      </c>
      <c r="M67" s="232">
        <f t="shared" si="1"/>
        <v>1100</v>
      </c>
      <c r="N67" s="232">
        <f t="shared" si="2"/>
        <v>1100</v>
      </c>
      <c r="O67" s="232">
        <f t="shared" si="3"/>
        <v>1100</v>
      </c>
      <c r="P67" s="922">
        <f t="shared" si="4"/>
        <v>1100</v>
      </c>
      <c r="Q67" s="905" t="s">
        <v>4227</v>
      </c>
      <c r="R67" s="872" t="s">
        <v>4854</v>
      </c>
      <c r="S67" s="872">
        <v>0.2</v>
      </c>
      <c r="T67" s="486">
        <f t="shared" si="5"/>
        <v>0</v>
      </c>
      <c r="U67" s="993">
        <v>3360000</v>
      </c>
    </row>
    <row r="68" spans="1:21" ht="15.75">
      <c r="A68" s="453">
        <v>65</v>
      </c>
      <c r="B68" s="125" t="s">
        <v>1111</v>
      </c>
      <c r="C68" s="125" t="s">
        <v>1112</v>
      </c>
      <c r="D68" s="125">
        <v>10</v>
      </c>
      <c r="E68" s="125" t="s">
        <v>27</v>
      </c>
      <c r="F68" s="125"/>
      <c r="G68" s="76">
        <f t="shared" si="14"/>
        <v>2.5</v>
      </c>
      <c r="H68" s="76">
        <f t="shared" si="15"/>
        <v>2.5</v>
      </c>
      <c r="I68" s="76">
        <f t="shared" si="16"/>
        <v>2.5</v>
      </c>
      <c r="J68" s="76">
        <f t="shared" si="17"/>
        <v>2.5</v>
      </c>
      <c r="K68" s="232">
        <v>189750</v>
      </c>
      <c r="L68" s="232">
        <f t="shared" ref="L68:L122" si="18">K68*D68</f>
        <v>1897500</v>
      </c>
      <c r="M68" s="232">
        <f t="shared" ref="M68:M122" si="19">K68*G68</f>
        <v>474375</v>
      </c>
      <c r="N68" s="232">
        <f t="shared" ref="N68:N122" si="20">K68*H68</f>
        <v>474375</v>
      </c>
      <c r="O68" s="232">
        <f t="shared" ref="O68:O122" si="21">K68*I68</f>
        <v>474375</v>
      </c>
      <c r="P68" s="922">
        <f t="shared" ref="P68:P122" si="22">K68*J68</f>
        <v>474375</v>
      </c>
      <c r="Q68" s="925" t="s">
        <v>4236</v>
      </c>
      <c r="R68" s="872"/>
      <c r="S68" s="872"/>
      <c r="T68" s="486">
        <f t="shared" si="5"/>
        <v>10</v>
      </c>
      <c r="U68" s="993"/>
    </row>
    <row r="69" spans="1:21" ht="15.75">
      <c r="A69" s="453">
        <v>66</v>
      </c>
      <c r="B69" s="125" t="s">
        <v>1113</v>
      </c>
      <c r="C69" s="125" t="s">
        <v>1114</v>
      </c>
      <c r="D69" s="125">
        <v>1.35</v>
      </c>
      <c r="E69" s="125" t="s">
        <v>27</v>
      </c>
      <c r="F69" s="125"/>
      <c r="G69" s="76">
        <f t="shared" si="14"/>
        <v>0.33750000000000002</v>
      </c>
      <c r="H69" s="76">
        <f t="shared" si="15"/>
        <v>0.33750000000000002</v>
      </c>
      <c r="I69" s="76">
        <f t="shared" si="16"/>
        <v>0.33750000000000002</v>
      </c>
      <c r="J69" s="76">
        <f t="shared" si="17"/>
        <v>0.33750000000000002</v>
      </c>
      <c r="K69" s="232">
        <v>10547</v>
      </c>
      <c r="L69" s="232">
        <f t="shared" si="18"/>
        <v>14238.45</v>
      </c>
      <c r="M69" s="232">
        <f t="shared" si="19"/>
        <v>3559.6125000000002</v>
      </c>
      <c r="N69" s="232">
        <f t="shared" si="20"/>
        <v>3559.6125000000002</v>
      </c>
      <c r="O69" s="232">
        <f t="shared" si="21"/>
        <v>3559.6125000000002</v>
      </c>
      <c r="P69" s="922">
        <f t="shared" si="22"/>
        <v>3559.6125000000002</v>
      </c>
      <c r="Q69" s="925" t="s">
        <v>4236</v>
      </c>
      <c r="R69" s="872"/>
      <c r="S69" s="872"/>
      <c r="T69" s="486">
        <f t="shared" ref="T69:T131" si="23">D69-S69</f>
        <v>1.35</v>
      </c>
      <c r="U69" s="993"/>
    </row>
    <row r="70" spans="1:21" ht="15.75">
      <c r="A70" s="453">
        <v>67</v>
      </c>
      <c r="B70" s="125" t="s">
        <v>1115</v>
      </c>
      <c r="C70" s="125" t="s">
        <v>1116</v>
      </c>
      <c r="D70" s="125">
        <v>1.1399999999999999</v>
      </c>
      <c r="E70" s="125" t="s">
        <v>27</v>
      </c>
      <c r="F70" s="125"/>
      <c r="G70" s="76">
        <f t="shared" si="14"/>
        <v>0.28499999999999998</v>
      </c>
      <c r="H70" s="76">
        <f t="shared" si="15"/>
        <v>0.28499999999999998</v>
      </c>
      <c r="I70" s="76">
        <f t="shared" si="16"/>
        <v>0.28499999999999998</v>
      </c>
      <c r="J70" s="76">
        <f t="shared" si="17"/>
        <v>0.28499999999999998</v>
      </c>
      <c r="K70" s="232">
        <v>580000</v>
      </c>
      <c r="L70" s="232">
        <f t="shared" si="18"/>
        <v>661200</v>
      </c>
      <c r="M70" s="232">
        <f t="shared" si="19"/>
        <v>165300</v>
      </c>
      <c r="N70" s="232">
        <f t="shared" si="20"/>
        <v>165300</v>
      </c>
      <c r="O70" s="232">
        <f t="shared" si="21"/>
        <v>165300</v>
      </c>
      <c r="P70" s="922">
        <f t="shared" si="22"/>
        <v>165300</v>
      </c>
      <c r="Q70" s="925" t="s">
        <v>4236</v>
      </c>
      <c r="R70" s="872"/>
      <c r="S70" s="872"/>
      <c r="T70" s="486">
        <f t="shared" si="23"/>
        <v>1.1399999999999999</v>
      </c>
      <c r="U70" s="993"/>
    </row>
    <row r="71" spans="1:21" ht="15.75">
      <c r="A71" s="453">
        <v>68</v>
      </c>
      <c r="B71" s="125" t="s">
        <v>1117</v>
      </c>
      <c r="C71" s="125" t="s">
        <v>1118</v>
      </c>
      <c r="D71" s="125">
        <v>1.1399999999999999</v>
      </c>
      <c r="E71" s="125" t="s">
        <v>27</v>
      </c>
      <c r="F71" s="125"/>
      <c r="G71" s="76">
        <f t="shared" si="14"/>
        <v>0.28499999999999998</v>
      </c>
      <c r="H71" s="76">
        <f t="shared" si="15"/>
        <v>0.28499999999999998</v>
      </c>
      <c r="I71" s="76">
        <f t="shared" si="16"/>
        <v>0.28499999999999998</v>
      </c>
      <c r="J71" s="76">
        <f t="shared" si="17"/>
        <v>0.28499999999999998</v>
      </c>
      <c r="K71" s="232">
        <v>68000</v>
      </c>
      <c r="L71" s="232">
        <f t="shared" si="18"/>
        <v>77520</v>
      </c>
      <c r="M71" s="232">
        <f t="shared" si="19"/>
        <v>19380</v>
      </c>
      <c r="N71" s="232">
        <f t="shared" si="20"/>
        <v>19380</v>
      </c>
      <c r="O71" s="232">
        <f t="shared" si="21"/>
        <v>19380</v>
      </c>
      <c r="P71" s="922">
        <f t="shared" si="22"/>
        <v>19380</v>
      </c>
      <c r="Q71" s="925" t="s">
        <v>4236</v>
      </c>
      <c r="R71" s="872"/>
      <c r="S71" s="872"/>
      <c r="T71" s="486">
        <f t="shared" si="23"/>
        <v>1.1399999999999999</v>
      </c>
      <c r="U71" s="993"/>
    </row>
    <row r="72" spans="1:21" ht="15.75">
      <c r="A72" s="453">
        <v>69</v>
      </c>
      <c r="B72" s="125" t="s">
        <v>1119</v>
      </c>
      <c r="C72" s="125" t="s">
        <v>1120</v>
      </c>
      <c r="D72" s="125">
        <v>1.1399999999999999</v>
      </c>
      <c r="E72" s="125" t="s">
        <v>27</v>
      </c>
      <c r="F72" s="125"/>
      <c r="G72" s="76">
        <f t="shared" si="14"/>
        <v>0.28499999999999998</v>
      </c>
      <c r="H72" s="76">
        <f t="shared" si="15"/>
        <v>0.28499999999999998</v>
      </c>
      <c r="I72" s="76">
        <f t="shared" si="16"/>
        <v>0.28499999999999998</v>
      </c>
      <c r="J72" s="76">
        <f t="shared" si="17"/>
        <v>0.28499999999999998</v>
      </c>
      <c r="K72" s="232">
        <v>50000</v>
      </c>
      <c r="L72" s="232">
        <f t="shared" si="18"/>
        <v>56999.999999999993</v>
      </c>
      <c r="M72" s="232">
        <f t="shared" si="19"/>
        <v>14249.999999999998</v>
      </c>
      <c r="N72" s="232">
        <f t="shared" si="20"/>
        <v>14249.999999999998</v>
      </c>
      <c r="O72" s="232">
        <f t="shared" si="21"/>
        <v>14249.999999999998</v>
      </c>
      <c r="P72" s="922">
        <f t="shared" si="22"/>
        <v>14249.999999999998</v>
      </c>
      <c r="Q72" s="925" t="s">
        <v>4236</v>
      </c>
      <c r="R72" s="872"/>
      <c r="S72" s="872"/>
      <c r="T72" s="486">
        <f t="shared" si="23"/>
        <v>1.1399999999999999</v>
      </c>
      <c r="U72" s="993"/>
    </row>
    <row r="73" spans="1:21" ht="15.75">
      <c r="A73" s="453">
        <v>70</v>
      </c>
      <c r="B73" s="123" t="s">
        <v>1121</v>
      </c>
      <c r="C73" s="67" t="s">
        <v>1122</v>
      </c>
      <c r="D73" s="69">
        <v>24</v>
      </c>
      <c r="E73" s="123" t="s">
        <v>27</v>
      </c>
      <c r="F73" s="123"/>
      <c r="G73" s="76">
        <f t="shared" si="14"/>
        <v>6</v>
      </c>
      <c r="H73" s="76">
        <f t="shared" si="15"/>
        <v>6</v>
      </c>
      <c r="I73" s="76">
        <f t="shared" si="16"/>
        <v>6</v>
      </c>
      <c r="J73" s="76">
        <f t="shared" si="17"/>
        <v>6</v>
      </c>
      <c r="K73" s="232">
        <v>42000</v>
      </c>
      <c r="L73" s="232">
        <f t="shared" si="18"/>
        <v>1008000</v>
      </c>
      <c r="M73" s="232">
        <f t="shared" si="19"/>
        <v>252000</v>
      </c>
      <c r="N73" s="232">
        <f t="shared" si="20"/>
        <v>252000</v>
      </c>
      <c r="O73" s="232">
        <f t="shared" si="21"/>
        <v>252000</v>
      </c>
      <c r="P73" s="922">
        <f t="shared" si="22"/>
        <v>252000</v>
      </c>
      <c r="Q73" s="925" t="s">
        <v>4236</v>
      </c>
      <c r="R73" s="872"/>
      <c r="S73" s="872"/>
      <c r="T73" s="486">
        <f t="shared" si="23"/>
        <v>24</v>
      </c>
      <c r="U73" s="993"/>
    </row>
    <row r="74" spans="1:21" ht="15.75">
      <c r="A74" s="453">
        <v>71</v>
      </c>
      <c r="B74" s="123" t="s">
        <v>1123</v>
      </c>
      <c r="C74" s="67" t="s">
        <v>1124</v>
      </c>
      <c r="D74" s="69">
        <v>160</v>
      </c>
      <c r="E74" s="123" t="s">
        <v>1178</v>
      </c>
      <c r="F74" s="123"/>
      <c r="G74" s="76">
        <f t="shared" si="14"/>
        <v>40</v>
      </c>
      <c r="H74" s="76">
        <f t="shared" si="15"/>
        <v>40</v>
      </c>
      <c r="I74" s="76">
        <f t="shared" si="16"/>
        <v>40</v>
      </c>
      <c r="J74" s="76">
        <f t="shared" si="17"/>
        <v>40</v>
      </c>
      <c r="K74" s="232">
        <v>125000</v>
      </c>
      <c r="L74" s="232">
        <f t="shared" si="18"/>
        <v>20000000</v>
      </c>
      <c r="M74" s="232">
        <f t="shared" si="19"/>
        <v>5000000</v>
      </c>
      <c r="N74" s="232">
        <f t="shared" si="20"/>
        <v>5000000</v>
      </c>
      <c r="O74" s="232">
        <f t="shared" si="21"/>
        <v>5000000</v>
      </c>
      <c r="P74" s="922">
        <f t="shared" si="22"/>
        <v>5000000</v>
      </c>
      <c r="Q74" s="905" t="s">
        <v>4227</v>
      </c>
      <c r="R74" s="872"/>
      <c r="S74" s="872"/>
      <c r="T74" s="486">
        <f t="shared" si="23"/>
        <v>160</v>
      </c>
      <c r="U74" s="993"/>
    </row>
    <row r="75" spans="1:21" ht="15.75">
      <c r="A75" s="453">
        <v>72</v>
      </c>
      <c r="B75" s="123" t="s">
        <v>1125</v>
      </c>
      <c r="C75" s="123"/>
      <c r="D75" s="69">
        <v>60</v>
      </c>
      <c r="E75" s="65" t="s">
        <v>126</v>
      </c>
      <c r="F75" s="65"/>
      <c r="G75" s="76">
        <f t="shared" si="14"/>
        <v>15</v>
      </c>
      <c r="H75" s="76">
        <f t="shared" si="15"/>
        <v>15</v>
      </c>
      <c r="I75" s="76">
        <f t="shared" si="16"/>
        <v>15</v>
      </c>
      <c r="J75" s="76">
        <f t="shared" si="17"/>
        <v>15</v>
      </c>
      <c r="K75" s="232">
        <v>1300000</v>
      </c>
      <c r="L75" s="232">
        <f t="shared" si="18"/>
        <v>78000000</v>
      </c>
      <c r="M75" s="232">
        <f t="shared" si="19"/>
        <v>19500000</v>
      </c>
      <c r="N75" s="232">
        <f t="shared" si="20"/>
        <v>19500000</v>
      </c>
      <c r="O75" s="232">
        <f t="shared" si="21"/>
        <v>19500000</v>
      </c>
      <c r="P75" s="922">
        <f t="shared" si="22"/>
        <v>19500000</v>
      </c>
      <c r="Q75" s="925" t="s">
        <v>4236</v>
      </c>
      <c r="R75" s="872"/>
      <c r="S75" s="872"/>
      <c r="T75" s="486">
        <f t="shared" si="23"/>
        <v>60</v>
      </c>
      <c r="U75" s="993"/>
    </row>
    <row r="76" spans="1:21" ht="15.75">
      <c r="A76" s="453">
        <v>73</v>
      </c>
      <c r="B76" s="123" t="s">
        <v>1126</v>
      </c>
      <c r="C76" s="123"/>
      <c r="D76" s="69">
        <v>250</v>
      </c>
      <c r="E76" s="123" t="s">
        <v>27</v>
      </c>
      <c r="F76" s="123"/>
      <c r="G76" s="76">
        <f t="shared" si="14"/>
        <v>62.5</v>
      </c>
      <c r="H76" s="76">
        <f t="shared" si="15"/>
        <v>62.5</v>
      </c>
      <c r="I76" s="76">
        <f t="shared" si="16"/>
        <v>62.5</v>
      </c>
      <c r="J76" s="76">
        <f t="shared" si="17"/>
        <v>62.5</v>
      </c>
      <c r="K76" s="232">
        <v>11200</v>
      </c>
      <c r="L76" s="232">
        <f t="shared" si="18"/>
        <v>2800000</v>
      </c>
      <c r="M76" s="232">
        <f t="shared" si="19"/>
        <v>700000</v>
      </c>
      <c r="N76" s="232">
        <f t="shared" si="20"/>
        <v>700000</v>
      </c>
      <c r="O76" s="232">
        <f t="shared" si="21"/>
        <v>700000</v>
      </c>
      <c r="P76" s="922">
        <f t="shared" si="22"/>
        <v>700000</v>
      </c>
      <c r="Q76" s="905" t="s">
        <v>4227</v>
      </c>
      <c r="R76" s="872"/>
      <c r="S76" s="872"/>
      <c r="T76" s="486">
        <f t="shared" si="23"/>
        <v>250</v>
      </c>
      <c r="U76" s="993"/>
    </row>
    <row r="77" spans="1:21" ht="15.75">
      <c r="A77" s="453">
        <v>74</v>
      </c>
      <c r="B77" s="125" t="s">
        <v>1127</v>
      </c>
      <c r="C77" s="125"/>
      <c r="D77" s="125">
        <v>30</v>
      </c>
      <c r="E77" s="125" t="s">
        <v>286</v>
      </c>
      <c r="F77" s="125"/>
      <c r="G77" s="76">
        <f t="shared" si="14"/>
        <v>7.5</v>
      </c>
      <c r="H77" s="76">
        <f t="shared" si="15"/>
        <v>7.5</v>
      </c>
      <c r="I77" s="76">
        <f t="shared" si="16"/>
        <v>7.5</v>
      </c>
      <c r="J77" s="76">
        <f t="shared" si="17"/>
        <v>7.5</v>
      </c>
      <c r="K77" s="232">
        <v>348000</v>
      </c>
      <c r="L77" s="232">
        <f t="shared" si="18"/>
        <v>10440000</v>
      </c>
      <c r="M77" s="232">
        <f t="shared" si="19"/>
        <v>2610000</v>
      </c>
      <c r="N77" s="232">
        <f t="shared" si="20"/>
        <v>2610000</v>
      </c>
      <c r="O77" s="232">
        <f t="shared" si="21"/>
        <v>2610000</v>
      </c>
      <c r="P77" s="922">
        <f t="shared" si="22"/>
        <v>2610000</v>
      </c>
      <c r="Q77" s="925" t="s">
        <v>4236</v>
      </c>
      <c r="R77" s="872"/>
      <c r="S77" s="872"/>
      <c r="T77" s="486">
        <f t="shared" si="23"/>
        <v>30</v>
      </c>
      <c r="U77" s="993"/>
    </row>
    <row r="78" spans="1:21" ht="15.75">
      <c r="A78" s="453">
        <v>75</v>
      </c>
      <c r="B78" s="125" t="s">
        <v>1128</v>
      </c>
      <c r="C78" s="125"/>
      <c r="D78" s="125">
        <v>20</v>
      </c>
      <c r="E78" s="125" t="s">
        <v>1179</v>
      </c>
      <c r="F78" s="125"/>
      <c r="G78" s="76">
        <f t="shared" si="14"/>
        <v>5</v>
      </c>
      <c r="H78" s="76">
        <f t="shared" si="15"/>
        <v>5</v>
      </c>
      <c r="I78" s="76">
        <f t="shared" si="16"/>
        <v>5</v>
      </c>
      <c r="J78" s="76">
        <f t="shared" si="17"/>
        <v>5</v>
      </c>
      <c r="K78" s="232">
        <v>13800000</v>
      </c>
      <c r="L78" s="232">
        <f t="shared" si="18"/>
        <v>276000000</v>
      </c>
      <c r="M78" s="232">
        <f t="shared" si="19"/>
        <v>69000000</v>
      </c>
      <c r="N78" s="232">
        <f t="shared" si="20"/>
        <v>69000000</v>
      </c>
      <c r="O78" s="232">
        <f t="shared" si="21"/>
        <v>69000000</v>
      </c>
      <c r="P78" s="922">
        <f t="shared" si="22"/>
        <v>69000000</v>
      </c>
      <c r="Q78" s="925" t="s">
        <v>4236</v>
      </c>
      <c r="R78" s="872"/>
      <c r="S78" s="872"/>
      <c r="T78" s="486">
        <f t="shared" si="23"/>
        <v>20</v>
      </c>
      <c r="U78" s="993"/>
    </row>
    <row r="79" spans="1:21" ht="15.75">
      <c r="A79" s="453">
        <v>76</v>
      </c>
      <c r="B79" s="125" t="s">
        <v>1129</v>
      </c>
      <c r="C79" s="125"/>
      <c r="D79" s="125">
        <v>300</v>
      </c>
      <c r="E79" s="125" t="s">
        <v>518</v>
      </c>
      <c r="F79" s="125"/>
      <c r="G79" s="76">
        <f t="shared" si="14"/>
        <v>75</v>
      </c>
      <c r="H79" s="76">
        <f t="shared" si="15"/>
        <v>75</v>
      </c>
      <c r="I79" s="76">
        <f t="shared" si="16"/>
        <v>75</v>
      </c>
      <c r="J79" s="76">
        <f t="shared" si="17"/>
        <v>75</v>
      </c>
      <c r="K79" s="232">
        <v>6200</v>
      </c>
      <c r="L79" s="232">
        <f t="shared" si="18"/>
        <v>1860000</v>
      </c>
      <c r="M79" s="232">
        <f t="shared" si="19"/>
        <v>465000</v>
      </c>
      <c r="N79" s="232">
        <f t="shared" si="20"/>
        <v>465000</v>
      </c>
      <c r="O79" s="232">
        <f t="shared" si="21"/>
        <v>465000</v>
      </c>
      <c r="P79" s="922">
        <f t="shared" si="22"/>
        <v>465000</v>
      </c>
      <c r="Q79" s="925" t="s">
        <v>4236</v>
      </c>
      <c r="R79" s="872"/>
      <c r="S79" s="872"/>
      <c r="T79" s="486">
        <f t="shared" si="23"/>
        <v>300</v>
      </c>
      <c r="U79" s="993"/>
    </row>
    <row r="80" spans="1:21" ht="15.75">
      <c r="A80" s="453">
        <v>77</v>
      </c>
      <c r="B80" s="123" t="s">
        <v>1130</v>
      </c>
      <c r="C80" s="123"/>
      <c r="D80" s="69">
        <v>250</v>
      </c>
      <c r="E80" s="123" t="s">
        <v>1180</v>
      </c>
      <c r="F80" s="123"/>
      <c r="G80" s="76">
        <f t="shared" si="14"/>
        <v>62.5</v>
      </c>
      <c r="H80" s="76">
        <f t="shared" si="15"/>
        <v>62.5</v>
      </c>
      <c r="I80" s="76">
        <f t="shared" si="16"/>
        <v>62.5</v>
      </c>
      <c r="J80" s="76">
        <f t="shared" si="17"/>
        <v>62.5</v>
      </c>
      <c r="K80" s="232">
        <v>42000</v>
      </c>
      <c r="L80" s="232">
        <f t="shared" si="18"/>
        <v>10500000</v>
      </c>
      <c r="M80" s="232">
        <f t="shared" si="19"/>
        <v>2625000</v>
      </c>
      <c r="N80" s="232">
        <f t="shared" si="20"/>
        <v>2625000</v>
      </c>
      <c r="O80" s="232">
        <f t="shared" si="21"/>
        <v>2625000</v>
      </c>
      <c r="P80" s="922">
        <f t="shared" si="22"/>
        <v>2625000</v>
      </c>
      <c r="Q80" s="925" t="s">
        <v>4236</v>
      </c>
      <c r="R80" s="872"/>
      <c r="S80" s="872"/>
      <c r="T80" s="486">
        <f t="shared" si="23"/>
        <v>250</v>
      </c>
      <c r="U80" s="993"/>
    </row>
    <row r="81" spans="1:21" ht="57">
      <c r="A81" s="453">
        <v>78</v>
      </c>
      <c r="B81" s="123" t="s">
        <v>1131</v>
      </c>
      <c r="C81" s="123"/>
      <c r="D81" s="69">
        <v>8</v>
      </c>
      <c r="E81" s="123" t="s">
        <v>89</v>
      </c>
      <c r="F81" s="123"/>
      <c r="G81" s="76">
        <f t="shared" si="14"/>
        <v>2</v>
      </c>
      <c r="H81" s="76">
        <f t="shared" si="15"/>
        <v>2</v>
      </c>
      <c r="I81" s="76">
        <f t="shared" si="16"/>
        <v>2</v>
      </c>
      <c r="J81" s="76">
        <f t="shared" si="17"/>
        <v>2</v>
      </c>
      <c r="K81" s="232">
        <v>15500</v>
      </c>
      <c r="L81" s="232">
        <f t="shared" si="18"/>
        <v>124000</v>
      </c>
      <c r="M81" s="232">
        <f t="shared" si="19"/>
        <v>31000</v>
      </c>
      <c r="N81" s="232">
        <f t="shared" si="20"/>
        <v>31000</v>
      </c>
      <c r="O81" s="232">
        <f t="shared" si="21"/>
        <v>31000</v>
      </c>
      <c r="P81" s="922">
        <f t="shared" si="22"/>
        <v>31000</v>
      </c>
      <c r="Q81" s="1000" t="s">
        <v>4742</v>
      </c>
      <c r="R81" s="872" t="s">
        <v>4743</v>
      </c>
      <c r="S81" s="872">
        <f>1+0.5</f>
        <v>1.5</v>
      </c>
      <c r="T81" s="486">
        <f t="shared" si="23"/>
        <v>6.5</v>
      </c>
      <c r="U81" s="993">
        <f>24954000+12477500</f>
        <v>37431500</v>
      </c>
    </row>
    <row r="82" spans="1:21" ht="15.75">
      <c r="A82" s="453">
        <v>79</v>
      </c>
      <c r="B82" s="123" t="s">
        <v>1132</v>
      </c>
      <c r="C82" s="123"/>
      <c r="D82" s="69">
        <v>300</v>
      </c>
      <c r="E82" s="123" t="s">
        <v>518</v>
      </c>
      <c r="F82" s="123"/>
      <c r="G82" s="76">
        <f t="shared" si="14"/>
        <v>75</v>
      </c>
      <c r="H82" s="76">
        <f t="shared" si="15"/>
        <v>75</v>
      </c>
      <c r="I82" s="76">
        <f t="shared" si="16"/>
        <v>75</v>
      </c>
      <c r="J82" s="76">
        <f t="shared" si="17"/>
        <v>75</v>
      </c>
      <c r="K82" s="232">
        <v>6200</v>
      </c>
      <c r="L82" s="232">
        <f t="shared" si="18"/>
        <v>1860000</v>
      </c>
      <c r="M82" s="232">
        <f t="shared" si="19"/>
        <v>465000</v>
      </c>
      <c r="N82" s="232">
        <f t="shared" si="20"/>
        <v>465000</v>
      </c>
      <c r="O82" s="232">
        <f t="shared" si="21"/>
        <v>465000</v>
      </c>
      <c r="P82" s="922">
        <f t="shared" si="22"/>
        <v>465000</v>
      </c>
      <c r="Q82" s="925" t="s">
        <v>4236</v>
      </c>
      <c r="R82" s="872"/>
      <c r="S82" s="872"/>
      <c r="T82" s="486">
        <f t="shared" si="23"/>
        <v>300</v>
      </c>
      <c r="U82" s="993"/>
    </row>
    <row r="83" spans="1:21" ht="15.75">
      <c r="A83" s="453">
        <v>80</v>
      </c>
      <c r="B83" s="123" t="s">
        <v>1133</v>
      </c>
      <c r="C83" s="123"/>
      <c r="D83" s="69">
        <v>300</v>
      </c>
      <c r="E83" s="123" t="s">
        <v>27</v>
      </c>
      <c r="F83" s="123"/>
      <c r="G83" s="76">
        <f t="shared" si="14"/>
        <v>75</v>
      </c>
      <c r="H83" s="76">
        <f t="shared" si="15"/>
        <v>75</v>
      </c>
      <c r="I83" s="76">
        <f t="shared" si="16"/>
        <v>75</v>
      </c>
      <c r="J83" s="76">
        <f t="shared" si="17"/>
        <v>75</v>
      </c>
      <c r="K83" s="232">
        <v>3800</v>
      </c>
      <c r="L83" s="232">
        <f t="shared" si="18"/>
        <v>1140000</v>
      </c>
      <c r="M83" s="232">
        <f t="shared" si="19"/>
        <v>285000</v>
      </c>
      <c r="N83" s="232">
        <f t="shared" si="20"/>
        <v>285000</v>
      </c>
      <c r="O83" s="232">
        <f t="shared" si="21"/>
        <v>285000</v>
      </c>
      <c r="P83" s="922">
        <f t="shared" si="22"/>
        <v>285000</v>
      </c>
      <c r="Q83" s="905" t="s">
        <v>4227</v>
      </c>
      <c r="R83" s="872"/>
      <c r="S83" s="872"/>
      <c r="T83" s="486">
        <f t="shared" si="23"/>
        <v>300</v>
      </c>
      <c r="U83" s="993"/>
    </row>
    <row r="84" spans="1:21" ht="15.75">
      <c r="A84" s="453">
        <v>81</v>
      </c>
      <c r="B84" s="123" t="s">
        <v>1134</v>
      </c>
      <c r="C84" s="123" t="s">
        <v>1135</v>
      </c>
      <c r="D84" s="69">
        <v>260</v>
      </c>
      <c r="E84" s="123" t="s">
        <v>518</v>
      </c>
      <c r="F84" s="123"/>
      <c r="G84" s="76">
        <f t="shared" si="14"/>
        <v>65</v>
      </c>
      <c r="H84" s="76">
        <f t="shared" si="15"/>
        <v>65</v>
      </c>
      <c r="I84" s="76">
        <f t="shared" si="16"/>
        <v>65</v>
      </c>
      <c r="J84" s="76">
        <f t="shared" si="17"/>
        <v>65</v>
      </c>
      <c r="K84" s="232">
        <v>355600</v>
      </c>
      <c r="L84" s="232">
        <f t="shared" si="18"/>
        <v>92456000</v>
      </c>
      <c r="M84" s="232">
        <f t="shared" si="19"/>
        <v>23114000</v>
      </c>
      <c r="N84" s="232">
        <f t="shared" si="20"/>
        <v>23114000</v>
      </c>
      <c r="O84" s="232">
        <f t="shared" si="21"/>
        <v>23114000</v>
      </c>
      <c r="P84" s="922">
        <f t="shared" si="22"/>
        <v>23114000</v>
      </c>
      <c r="Q84" s="925" t="s">
        <v>4236</v>
      </c>
      <c r="R84" s="872"/>
      <c r="S84" s="872"/>
      <c r="T84" s="486">
        <f t="shared" si="23"/>
        <v>260</v>
      </c>
      <c r="U84" s="993"/>
    </row>
    <row r="85" spans="1:21" ht="63">
      <c r="A85" s="453">
        <v>82</v>
      </c>
      <c r="B85" s="123" t="s">
        <v>1136</v>
      </c>
      <c r="C85" s="123" t="s">
        <v>1137</v>
      </c>
      <c r="D85" s="69">
        <v>200</v>
      </c>
      <c r="E85" s="123" t="s">
        <v>27</v>
      </c>
      <c r="F85" s="123"/>
      <c r="G85" s="76">
        <f t="shared" si="14"/>
        <v>50</v>
      </c>
      <c r="H85" s="76">
        <f t="shared" si="15"/>
        <v>50</v>
      </c>
      <c r="I85" s="76">
        <f t="shared" si="16"/>
        <v>50</v>
      </c>
      <c r="J85" s="76">
        <f t="shared" si="17"/>
        <v>50</v>
      </c>
      <c r="K85" s="232">
        <v>8475</v>
      </c>
      <c r="L85" s="232">
        <f t="shared" si="18"/>
        <v>1695000</v>
      </c>
      <c r="M85" s="232">
        <f t="shared" si="19"/>
        <v>423750</v>
      </c>
      <c r="N85" s="232">
        <f t="shared" si="20"/>
        <v>423750</v>
      </c>
      <c r="O85" s="232">
        <f t="shared" si="21"/>
        <v>423750</v>
      </c>
      <c r="P85" s="922">
        <f t="shared" si="22"/>
        <v>423750</v>
      </c>
      <c r="Q85" s="905" t="s">
        <v>4227</v>
      </c>
      <c r="R85" s="872"/>
      <c r="S85" s="872"/>
      <c r="T85" s="486">
        <f t="shared" si="23"/>
        <v>200</v>
      </c>
      <c r="U85" s="993"/>
    </row>
    <row r="86" spans="1:21" ht="15.75">
      <c r="A86" s="453">
        <v>83</v>
      </c>
      <c r="B86" s="125" t="s">
        <v>1138</v>
      </c>
      <c r="C86" s="125" t="s">
        <v>1139</v>
      </c>
      <c r="D86" s="125">
        <v>1.7</v>
      </c>
      <c r="E86" s="125" t="s">
        <v>27</v>
      </c>
      <c r="F86" s="125"/>
      <c r="G86" s="76">
        <f t="shared" si="14"/>
        <v>0.42499999999999999</v>
      </c>
      <c r="H86" s="76">
        <f t="shared" si="15"/>
        <v>0.42499999999999999</v>
      </c>
      <c r="I86" s="76">
        <f t="shared" si="16"/>
        <v>0.42499999999999999</v>
      </c>
      <c r="J86" s="76">
        <f t="shared" si="17"/>
        <v>0.42499999999999999</v>
      </c>
      <c r="K86" s="232">
        <v>544050</v>
      </c>
      <c r="L86" s="232">
        <f t="shared" si="18"/>
        <v>924885</v>
      </c>
      <c r="M86" s="232">
        <f t="shared" si="19"/>
        <v>231221.25</v>
      </c>
      <c r="N86" s="232">
        <f t="shared" si="20"/>
        <v>231221.25</v>
      </c>
      <c r="O86" s="232">
        <f t="shared" si="21"/>
        <v>231221.25</v>
      </c>
      <c r="P86" s="922">
        <f t="shared" si="22"/>
        <v>231221.25</v>
      </c>
      <c r="Q86" s="925" t="s">
        <v>4236</v>
      </c>
      <c r="R86" s="872"/>
      <c r="S86" s="872"/>
      <c r="T86" s="486">
        <f t="shared" si="23"/>
        <v>1.7</v>
      </c>
      <c r="U86" s="993"/>
    </row>
    <row r="87" spans="1:21" ht="15.75">
      <c r="A87" s="453">
        <v>84</v>
      </c>
      <c r="B87" s="125" t="s">
        <v>1140</v>
      </c>
      <c r="C87" s="125"/>
      <c r="D87" s="125">
        <v>40</v>
      </c>
      <c r="E87" s="125" t="s">
        <v>286</v>
      </c>
      <c r="F87" s="125"/>
      <c r="G87" s="76">
        <f t="shared" si="14"/>
        <v>10</v>
      </c>
      <c r="H87" s="76">
        <f t="shared" si="15"/>
        <v>10</v>
      </c>
      <c r="I87" s="76">
        <f t="shared" si="16"/>
        <v>10</v>
      </c>
      <c r="J87" s="76">
        <f t="shared" si="17"/>
        <v>10</v>
      </c>
      <c r="K87" s="232">
        <v>39000</v>
      </c>
      <c r="L87" s="232">
        <f t="shared" si="18"/>
        <v>1560000</v>
      </c>
      <c r="M87" s="232">
        <f t="shared" si="19"/>
        <v>390000</v>
      </c>
      <c r="N87" s="232">
        <f t="shared" si="20"/>
        <v>390000</v>
      </c>
      <c r="O87" s="232">
        <f t="shared" si="21"/>
        <v>390000</v>
      </c>
      <c r="P87" s="922">
        <f t="shared" si="22"/>
        <v>390000</v>
      </c>
      <c r="Q87" s="925" t="s">
        <v>4236</v>
      </c>
      <c r="R87" s="872"/>
      <c r="S87" s="872"/>
      <c r="T87" s="486">
        <f t="shared" si="23"/>
        <v>40</v>
      </c>
      <c r="U87" s="993"/>
    </row>
    <row r="88" spans="1:21" ht="15.75">
      <c r="A88" s="453">
        <v>85</v>
      </c>
      <c r="B88" s="125" t="s">
        <v>1141</v>
      </c>
      <c r="C88" s="125" t="s">
        <v>1142</v>
      </c>
      <c r="D88" s="125">
        <v>10</v>
      </c>
      <c r="E88" s="125" t="s">
        <v>286</v>
      </c>
      <c r="F88" s="125"/>
      <c r="G88" s="76">
        <f t="shared" si="14"/>
        <v>2.5</v>
      </c>
      <c r="H88" s="76">
        <f t="shared" si="15"/>
        <v>2.5</v>
      </c>
      <c r="I88" s="76">
        <f t="shared" si="16"/>
        <v>2.5</v>
      </c>
      <c r="J88" s="76">
        <f t="shared" si="17"/>
        <v>2.5</v>
      </c>
      <c r="K88" s="232">
        <v>86000</v>
      </c>
      <c r="L88" s="232">
        <f t="shared" si="18"/>
        <v>860000</v>
      </c>
      <c r="M88" s="232">
        <f t="shared" si="19"/>
        <v>215000</v>
      </c>
      <c r="N88" s="232">
        <f t="shared" si="20"/>
        <v>215000</v>
      </c>
      <c r="O88" s="232">
        <f t="shared" si="21"/>
        <v>215000</v>
      </c>
      <c r="P88" s="922">
        <f t="shared" si="22"/>
        <v>215000</v>
      </c>
      <c r="Q88" s="925" t="s">
        <v>4236</v>
      </c>
      <c r="R88" s="872"/>
      <c r="S88" s="872"/>
      <c r="T88" s="486">
        <f t="shared" si="23"/>
        <v>10</v>
      </c>
      <c r="U88" s="993"/>
    </row>
    <row r="89" spans="1:21" ht="15.75">
      <c r="A89" s="453">
        <v>86</v>
      </c>
      <c r="B89" s="128" t="s">
        <v>1143</v>
      </c>
      <c r="C89" s="128" t="s">
        <v>1144</v>
      </c>
      <c r="D89" s="126">
        <v>10</v>
      </c>
      <c r="E89" s="125" t="s">
        <v>286</v>
      </c>
      <c r="F89" s="125"/>
      <c r="G89" s="76"/>
      <c r="H89" s="76">
        <v>5</v>
      </c>
      <c r="I89" s="76"/>
      <c r="J89" s="76">
        <v>5</v>
      </c>
      <c r="K89" s="232">
        <v>345000</v>
      </c>
      <c r="L89" s="232">
        <f t="shared" si="18"/>
        <v>3450000</v>
      </c>
      <c r="M89" s="232">
        <f t="shared" si="19"/>
        <v>0</v>
      </c>
      <c r="N89" s="232">
        <f t="shared" si="20"/>
        <v>1725000</v>
      </c>
      <c r="O89" s="232">
        <f t="shared" si="21"/>
        <v>0</v>
      </c>
      <c r="P89" s="922">
        <f t="shared" si="22"/>
        <v>1725000</v>
      </c>
      <c r="Q89" s="925" t="s">
        <v>4236</v>
      </c>
      <c r="R89" s="872"/>
      <c r="S89" s="872"/>
      <c r="T89" s="486">
        <f t="shared" si="23"/>
        <v>10</v>
      </c>
      <c r="U89" s="993"/>
    </row>
    <row r="90" spans="1:21" ht="15.75">
      <c r="A90" s="453">
        <v>87</v>
      </c>
      <c r="B90" s="128" t="s">
        <v>1145</v>
      </c>
      <c r="C90" s="128" t="s">
        <v>1146</v>
      </c>
      <c r="D90" s="126">
        <v>6</v>
      </c>
      <c r="E90" s="125" t="s">
        <v>286</v>
      </c>
      <c r="F90" s="125"/>
      <c r="G90" s="76"/>
      <c r="H90" s="76">
        <v>3</v>
      </c>
      <c r="I90" s="76"/>
      <c r="J90" s="76">
        <v>3</v>
      </c>
      <c r="K90" s="232">
        <v>2531000</v>
      </c>
      <c r="L90" s="232">
        <f t="shared" si="18"/>
        <v>15186000</v>
      </c>
      <c r="M90" s="232">
        <f t="shared" si="19"/>
        <v>0</v>
      </c>
      <c r="N90" s="232">
        <f t="shared" si="20"/>
        <v>7593000</v>
      </c>
      <c r="O90" s="232">
        <f t="shared" si="21"/>
        <v>0</v>
      </c>
      <c r="P90" s="922">
        <f t="shared" si="22"/>
        <v>7593000</v>
      </c>
      <c r="Q90" s="925" t="s">
        <v>4236</v>
      </c>
      <c r="R90" s="872"/>
      <c r="S90" s="872"/>
      <c r="T90" s="486">
        <f t="shared" si="23"/>
        <v>6</v>
      </c>
      <c r="U90" s="993"/>
    </row>
    <row r="91" spans="1:21" ht="15.75">
      <c r="A91" s="453">
        <v>88</v>
      </c>
      <c r="B91" s="125" t="s">
        <v>1147</v>
      </c>
      <c r="C91" s="125" t="s">
        <v>1090</v>
      </c>
      <c r="D91" s="125">
        <v>200</v>
      </c>
      <c r="E91" s="125" t="s">
        <v>286</v>
      </c>
      <c r="F91" s="125"/>
      <c r="G91" s="76">
        <f t="shared" si="14"/>
        <v>50</v>
      </c>
      <c r="H91" s="76">
        <f t="shared" si="15"/>
        <v>50</v>
      </c>
      <c r="I91" s="76">
        <f t="shared" si="16"/>
        <v>50</v>
      </c>
      <c r="J91" s="76">
        <f t="shared" si="17"/>
        <v>50</v>
      </c>
      <c r="K91" s="232">
        <v>55000</v>
      </c>
      <c r="L91" s="232">
        <f t="shared" si="18"/>
        <v>11000000</v>
      </c>
      <c r="M91" s="232">
        <f t="shared" si="19"/>
        <v>2750000</v>
      </c>
      <c r="N91" s="232">
        <f t="shared" si="20"/>
        <v>2750000</v>
      </c>
      <c r="O91" s="232">
        <f t="shared" si="21"/>
        <v>2750000</v>
      </c>
      <c r="P91" s="922">
        <f t="shared" si="22"/>
        <v>2750000</v>
      </c>
      <c r="Q91" s="925" t="s">
        <v>4236</v>
      </c>
      <c r="R91" s="872"/>
      <c r="S91" s="872"/>
      <c r="T91" s="486">
        <f t="shared" si="23"/>
        <v>200</v>
      </c>
      <c r="U91" s="993"/>
    </row>
    <row r="92" spans="1:21" ht="34.5">
      <c r="A92" s="453">
        <v>89</v>
      </c>
      <c r="B92" s="123" t="s">
        <v>2718</v>
      </c>
      <c r="C92" s="67">
        <v>102</v>
      </c>
      <c r="D92" s="69">
        <v>4</v>
      </c>
      <c r="E92" s="65" t="s">
        <v>126</v>
      </c>
      <c r="F92" s="65"/>
      <c r="G92" s="76"/>
      <c r="H92" s="76">
        <v>1</v>
      </c>
      <c r="I92" s="76">
        <v>2</v>
      </c>
      <c r="J92" s="76">
        <f t="shared" si="17"/>
        <v>1</v>
      </c>
      <c r="K92" s="232">
        <v>120000</v>
      </c>
      <c r="L92" s="232">
        <f t="shared" si="18"/>
        <v>480000</v>
      </c>
      <c r="M92" s="232">
        <f t="shared" si="19"/>
        <v>0</v>
      </c>
      <c r="N92" s="232">
        <f t="shared" si="20"/>
        <v>120000</v>
      </c>
      <c r="O92" s="232">
        <f t="shared" si="21"/>
        <v>240000</v>
      </c>
      <c r="P92" s="922">
        <f t="shared" si="22"/>
        <v>120000</v>
      </c>
      <c r="Q92" s="925" t="s">
        <v>4236</v>
      </c>
      <c r="R92" s="872"/>
      <c r="S92" s="872"/>
      <c r="T92" s="486">
        <f t="shared" si="23"/>
        <v>4</v>
      </c>
      <c r="U92" s="993"/>
    </row>
    <row r="93" spans="1:21" ht="15.75">
      <c r="A93" s="453">
        <v>90</v>
      </c>
      <c r="B93" s="123" t="s">
        <v>1150</v>
      </c>
      <c r="C93" s="123" t="s">
        <v>1151</v>
      </c>
      <c r="D93" s="69">
        <v>60</v>
      </c>
      <c r="E93" s="65" t="s">
        <v>126</v>
      </c>
      <c r="F93" s="65"/>
      <c r="G93" s="76">
        <f t="shared" si="14"/>
        <v>15</v>
      </c>
      <c r="H93" s="76">
        <f>D93/4</f>
        <v>15</v>
      </c>
      <c r="I93" s="76">
        <f>D93/4</f>
        <v>15</v>
      </c>
      <c r="J93" s="76">
        <f t="shared" si="17"/>
        <v>15</v>
      </c>
      <c r="K93" s="232">
        <v>1800000</v>
      </c>
      <c r="L93" s="232">
        <f t="shared" si="18"/>
        <v>108000000</v>
      </c>
      <c r="M93" s="232">
        <f t="shared" si="19"/>
        <v>27000000</v>
      </c>
      <c r="N93" s="232">
        <f t="shared" si="20"/>
        <v>27000000</v>
      </c>
      <c r="O93" s="232">
        <f t="shared" si="21"/>
        <v>27000000</v>
      </c>
      <c r="P93" s="922">
        <f t="shared" si="22"/>
        <v>27000000</v>
      </c>
      <c r="Q93" s="925" t="s">
        <v>4236</v>
      </c>
      <c r="R93" s="872"/>
      <c r="S93" s="872"/>
      <c r="T93" s="486">
        <f t="shared" si="23"/>
        <v>60</v>
      </c>
      <c r="U93" s="993"/>
    </row>
    <row r="94" spans="1:21" ht="15.75">
      <c r="A94" s="453">
        <v>91</v>
      </c>
      <c r="B94" s="123" t="s">
        <v>1152</v>
      </c>
      <c r="C94" s="123" t="s">
        <v>1151</v>
      </c>
      <c r="D94" s="69">
        <v>100</v>
      </c>
      <c r="E94" s="65" t="s">
        <v>126</v>
      </c>
      <c r="F94" s="65"/>
      <c r="G94" s="65"/>
      <c r="H94" s="76">
        <v>50</v>
      </c>
      <c r="I94" s="76">
        <v>50</v>
      </c>
      <c r="J94" s="76"/>
      <c r="K94" s="232">
        <v>620000</v>
      </c>
      <c r="L94" s="232">
        <f t="shared" si="18"/>
        <v>62000000</v>
      </c>
      <c r="M94" s="232">
        <f t="shared" si="19"/>
        <v>0</v>
      </c>
      <c r="N94" s="232">
        <f t="shared" si="20"/>
        <v>31000000</v>
      </c>
      <c r="O94" s="232">
        <f t="shared" si="21"/>
        <v>31000000</v>
      </c>
      <c r="P94" s="922">
        <f t="shared" si="22"/>
        <v>0</v>
      </c>
      <c r="Q94" s="925" t="s">
        <v>4236</v>
      </c>
      <c r="R94" s="872"/>
      <c r="S94" s="872"/>
      <c r="T94" s="486">
        <f t="shared" si="23"/>
        <v>100</v>
      </c>
      <c r="U94" s="993"/>
    </row>
    <row r="95" spans="1:21" ht="15.75">
      <c r="A95" s="453">
        <v>92</v>
      </c>
      <c r="B95" s="123" t="s">
        <v>1153</v>
      </c>
      <c r="C95" s="67"/>
      <c r="D95" s="69">
        <v>20</v>
      </c>
      <c r="E95" s="123" t="s">
        <v>126</v>
      </c>
      <c r="F95" s="123"/>
      <c r="G95" s="76">
        <f>D95/4</f>
        <v>5</v>
      </c>
      <c r="H95" s="76">
        <f>D95/4</f>
        <v>5</v>
      </c>
      <c r="I95" s="76">
        <f>D95/4</f>
        <v>5</v>
      </c>
      <c r="J95" s="76">
        <f>D95/4</f>
        <v>5</v>
      </c>
      <c r="K95" s="232">
        <v>560000</v>
      </c>
      <c r="L95" s="232">
        <f t="shared" si="18"/>
        <v>11200000</v>
      </c>
      <c r="M95" s="232">
        <f t="shared" si="19"/>
        <v>2800000</v>
      </c>
      <c r="N95" s="232">
        <f t="shared" si="20"/>
        <v>2800000</v>
      </c>
      <c r="O95" s="232">
        <f t="shared" si="21"/>
        <v>2800000</v>
      </c>
      <c r="P95" s="922">
        <f t="shared" si="22"/>
        <v>2800000</v>
      </c>
      <c r="Q95" s="925" t="s">
        <v>4236</v>
      </c>
      <c r="R95" s="872"/>
      <c r="S95" s="872"/>
      <c r="T95" s="486">
        <f t="shared" si="23"/>
        <v>20</v>
      </c>
      <c r="U95" s="993"/>
    </row>
    <row r="96" spans="1:21" ht="15.75">
      <c r="A96" s="453">
        <v>93</v>
      </c>
      <c r="B96" s="123" t="s">
        <v>1154</v>
      </c>
      <c r="C96" s="67"/>
      <c r="D96" s="69">
        <v>10</v>
      </c>
      <c r="E96" s="123" t="s">
        <v>464</v>
      </c>
      <c r="F96" s="123"/>
      <c r="G96" s="76"/>
      <c r="H96" s="76">
        <v>5</v>
      </c>
      <c r="I96" s="76"/>
      <c r="J96" s="76">
        <v>5</v>
      </c>
      <c r="K96" s="232">
        <v>100000</v>
      </c>
      <c r="L96" s="232">
        <f t="shared" si="18"/>
        <v>1000000</v>
      </c>
      <c r="M96" s="232">
        <f t="shared" si="19"/>
        <v>0</v>
      </c>
      <c r="N96" s="232">
        <f t="shared" si="20"/>
        <v>500000</v>
      </c>
      <c r="O96" s="232">
        <f t="shared" si="21"/>
        <v>0</v>
      </c>
      <c r="P96" s="922">
        <f t="shared" si="22"/>
        <v>500000</v>
      </c>
      <c r="Q96" s="925" t="s">
        <v>4236</v>
      </c>
      <c r="R96" s="872"/>
      <c r="S96" s="872"/>
      <c r="T96" s="486">
        <f t="shared" si="23"/>
        <v>10</v>
      </c>
      <c r="U96" s="993"/>
    </row>
    <row r="97" spans="1:21" ht="15.75">
      <c r="A97" s="453">
        <v>94</v>
      </c>
      <c r="B97" s="123" t="s">
        <v>1155</v>
      </c>
      <c r="C97" s="67"/>
      <c r="D97" s="69">
        <v>5</v>
      </c>
      <c r="E97" s="123" t="s">
        <v>286</v>
      </c>
      <c r="F97" s="123"/>
      <c r="G97" s="76"/>
      <c r="H97" s="76"/>
      <c r="I97" s="76"/>
      <c r="J97" s="76">
        <v>5</v>
      </c>
      <c r="K97" s="232">
        <v>65000000</v>
      </c>
      <c r="L97" s="232">
        <f t="shared" si="18"/>
        <v>325000000</v>
      </c>
      <c r="M97" s="232">
        <f t="shared" si="19"/>
        <v>0</v>
      </c>
      <c r="N97" s="232">
        <f t="shared" si="20"/>
        <v>0</v>
      </c>
      <c r="O97" s="232">
        <f t="shared" si="21"/>
        <v>0</v>
      </c>
      <c r="P97" s="922">
        <f t="shared" si="22"/>
        <v>325000000</v>
      </c>
      <c r="Q97" s="925" t="s">
        <v>4236</v>
      </c>
      <c r="R97" s="872"/>
      <c r="S97" s="872"/>
      <c r="T97" s="486">
        <f t="shared" si="23"/>
        <v>5</v>
      </c>
      <c r="U97" s="993"/>
    </row>
    <row r="98" spans="1:21" ht="15.75">
      <c r="A98" s="453">
        <v>95</v>
      </c>
      <c r="B98" s="123" t="s">
        <v>1952</v>
      </c>
      <c r="C98" s="67"/>
      <c r="D98" s="69">
        <v>5</v>
      </c>
      <c r="E98" s="123" t="s">
        <v>126</v>
      </c>
      <c r="F98" s="123"/>
      <c r="G98" s="76"/>
      <c r="H98" s="76"/>
      <c r="I98" s="76">
        <v>5</v>
      </c>
      <c r="J98" s="76"/>
      <c r="K98" s="232">
        <v>3500000</v>
      </c>
      <c r="L98" s="232">
        <f t="shared" si="18"/>
        <v>17500000</v>
      </c>
      <c r="M98" s="232">
        <f t="shared" si="19"/>
        <v>0</v>
      </c>
      <c r="N98" s="232">
        <f t="shared" si="20"/>
        <v>0</v>
      </c>
      <c r="O98" s="232">
        <f t="shared" si="21"/>
        <v>17500000</v>
      </c>
      <c r="P98" s="922">
        <f t="shared" si="22"/>
        <v>0</v>
      </c>
      <c r="Q98" s="925" t="s">
        <v>4236</v>
      </c>
      <c r="R98" s="872"/>
      <c r="S98" s="872"/>
      <c r="T98" s="486">
        <f t="shared" si="23"/>
        <v>5</v>
      </c>
      <c r="U98" s="993"/>
    </row>
    <row r="99" spans="1:21" ht="15.75">
      <c r="A99" s="453">
        <v>96</v>
      </c>
      <c r="B99" s="123" t="s">
        <v>1156</v>
      </c>
      <c r="C99" s="67"/>
      <c r="D99" s="69">
        <v>5</v>
      </c>
      <c r="E99" s="123" t="s">
        <v>126</v>
      </c>
      <c r="F99" s="123"/>
      <c r="G99" s="76"/>
      <c r="H99" s="76"/>
      <c r="I99" s="76">
        <v>5</v>
      </c>
      <c r="J99" s="76"/>
      <c r="K99" s="232">
        <v>3200000</v>
      </c>
      <c r="L99" s="232">
        <f t="shared" si="18"/>
        <v>16000000</v>
      </c>
      <c r="M99" s="232">
        <f t="shared" si="19"/>
        <v>0</v>
      </c>
      <c r="N99" s="232">
        <f t="shared" si="20"/>
        <v>0</v>
      </c>
      <c r="O99" s="232">
        <f t="shared" si="21"/>
        <v>16000000</v>
      </c>
      <c r="P99" s="922">
        <f t="shared" si="22"/>
        <v>0</v>
      </c>
      <c r="Q99" s="925" t="s">
        <v>4236</v>
      </c>
      <c r="R99" s="872"/>
      <c r="S99" s="872"/>
      <c r="T99" s="486">
        <f t="shared" si="23"/>
        <v>5</v>
      </c>
      <c r="U99" s="993"/>
    </row>
    <row r="100" spans="1:21" ht="15.75">
      <c r="A100" s="453">
        <v>97</v>
      </c>
      <c r="B100" s="123" t="s">
        <v>1157</v>
      </c>
      <c r="C100" s="67" t="s">
        <v>1158</v>
      </c>
      <c r="D100" s="69">
        <v>20</v>
      </c>
      <c r="E100" s="123" t="s">
        <v>286</v>
      </c>
      <c r="F100" s="123"/>
      <c r="G100" s="76">
        <f t="shared" ref="G100:G117" si="24">D100/4</f>
        <v>5</v>
      </c>
      <c r="H100" s="76">
        <f t="shared" ref="H100:H117" si="25">D100/4</f>
        <v>5</v>
      </c>
      <c r="I100" s="76">
        <f t="shared" ref="I100:I117" si="26">D100/4</f>
        <v>5</v>
      </c>
      <c r="J100" s="76">
        <f t="shared" ref="J100:J117" si="27">D100/4</f>
        <v>5</v>
      </c>
      <c r="K100" s="232">
        <v>250000</v>
      </c>
      <c r="L100" s="232">
        <f t="shared" si="18"/>
        <v>5000000</v>
      </c>
      <c r="M100" s="232">
        <f t="shared" si="19"/>
        <v>1250000</v>
      </c>
      <c r="N100" s="232">
        <f t="shared" si="20"/>
        <v>1250000</v>
      </c>
      <c r="O100" s="232">
        <f t="shared" si="21"/>
        <v>1250000</v>
      </c>
      <c r="P100" s="922">
        <f t="shared" si="22"/>
        <v>1250000</v>
      </c>
      <c r="Q100" s="925" t="s">
        <v>4236</v>
      </c>
      <c r="R100" s="872"/>
      <c r="S100" s="872"/>
      <c r="T100" s="486">
        <f t="shared" si="23"/>
        <v>20</v>
      </c>
      <c r="U100" s="993"/>
    </row>
    <row r="101" spans="1:21" ht="15.75">
      <c r="A101" s="453">
        <v>98</v>
      </c>
      <c r="B101" s="125" t="s">
        <v>1159</v>
      </c>
      <c r="C101" s="125" t="s">
        <v>1090</v>
      </c>
      <c r="D101" s="69">
        <v>50</v>
      </c>
      <c r="E101" s="125" t="s">
        <v>286</v>
      </c>
      <c r="F101" s="125"/>
      <c r="G101" s="76"/>
      <c r="H101" s="76">
        <v>25</v>
      </c>
      <c r="I101" s="76"/>
      <c r="J101" s="76">
        <v>25</v>
      </c>
      <c r="K101" s="232">
        <v>15000</v>
      </c>
      <c r="L101" s="232">
        <f t="shared" si="18"/>
        <v>750000</v>
      </c>
      <c r="M101" s="232">
        <f t="shared" si="19"/>
        <v>0</v>
      </c>
      <c r="N101" s="232">
        <f t="shared" si="20"/>
        <v>375000</v>
      </c>
      <c r="O101" s="232">
        <f t="shared" si="21"/>
        <v>0</v>
      </c>
      <c r="P101" s="922">
        <f t="shared" si="22"/>
        <v>375000</v>
      </c>
      <c r="Q101" s="925" t="s">
        <v>4236</v>
      </c>
      <c r="R101" s="872"/>
      <c r="S101" s="872"/>
      <c r="T101" s="486">
        <f t="shared" si="23"/>
        <v>50</v>
      </c>
      <c r="U101" s="993"/>
    </row>
    <row r="102" spans="1:21" ht="15.75">
      <c r="A102" s="453">
        <v>99</v>
      </c>
      <c r="B102" s="125" t="s">
        <v>1160</v>
      </c>
      <c r="C102" s="125" t="s">
        <v>1090</v>
      </c>
      <c r="D102" s="125">
        <v>60</v>
      </c>
      <c r="E102" s="123" t="s">
        <v>286</v>
      </c>
      <c r="F102" s="123"/>
      <c r="G102" s="76">
        <f t="shared" si="24"/>
        <v>15</v>
      </c>
      <c r="H102" s="76">
        <f t="shared" si="25"/>
        <v>15</v>
      </c>
      <c r="I102" s="76">
        <f t="shared" si="26"/>
        <v>15</v>
      </c>
      <c r="J102" s="76">
        <f t="shared" si="27"/>
        <v>15</v>
      </c>
      <c r="K102" s="232">
        <v>192000</v>
      </c>
      <c r="L102" s="232">
        <f t="shared" si="18"/>
        <v>11520000</v>
      </c>
      <c r="M102" s="232">
        <f t="shared" si="19"/>
        <v>2880000</v>
      </c>
      <c r="N102" s="232">
        <f t="shared" si="20"/>
        <v>2880000</v>
      </c>
      <c r="O102" s="232">
        <f t="shared" si="21"/>
        <v>2880000</v>
      </c>
      <c r="P102" s="922">
        <f t="shared" si="22"/>
        <v>2880000</v>
      </c>
      <c r="Q102" s="925" t="s">
        <v>4236</v>
      </c>
      <c r="R102" s="872"/>
      <c r="S102" s="872"/>
      <c r="T102" s="486">
        <f t="shared" si="23"/>
        <v>60</v>
      </c>
      <c r="U102" s="993"/>
    </row>
    <row r="103" spans="1:21" ht="15.75">
      <c r="A103" s="453">
        <v>100</v>
      </c>
      <c r="B103" s="125" t="s">
        <v>1161</v>
      </c>
      <c r="C103" s="125" t="s">
        <v>1162</v>
      </c>
      <c r="D103" s="125">
        <v>100</v>
      </c>
      <c r="E103" s="123" t="s">
        <v>286</v>
      </c>
      <c r="F103" s="123"/>
      <c r="G103" s="76">
        <f t="shared" si="24"/>
        <v>25</v>
      </c>
      <c r="H103" s="76">
        <f t="shared" si="25"/>
        <v>25</v>
      </c>
      <c r="I103" s="76">
        <f t="shared" si="26"/>
        <v>25</v>
      </c>
      <c r="J103" s="76">
        <f t="shared" si="27"/>
        <v>25</v>
      </c>
      <c r="K103" s="232">
        <v>50400</v>
      </c>
      <c r="L103" s="232">
        <f t="shared" si="18"/>
        <v>5040000</v>
      </c>
      <c r="M103" s="232">
        <f t="shared" si="19"/>
        <v>1260000</v>
      </c>
      <c r="N103" s="232">
        <f t="shared" si="20"/>
        <v>1260000</v>
      </c>
      <c r="O103" s="232">
        <f t="shared" si="21"/>
        <v>1260000</v>
      </c>
      <c r="P103" s="922">
        <f t="shared" si="22"/>
        <v>1260000</v>
      </c>
      <c r="Q103" s="925" t="s">
        <v>4236</v>
      </c>
      <c r="R103" s="872"/>
      <c r="S103" s="872"/>
      <c r="T103" s="486">
        <f t="shared" si="23"/>
        <v>100</v>
      </c>
      <c r="U103" s="993"/>
    </row>
    <row r="104" spans="1:21" ht="15.75">
      <c r="A104" s="453">
        <v>101</v>
      </c>
      <c r="B104" s="126" t="s">
        <v>1163</v>
      </c>
      <c r="C104" s="126"/>
      <c r="D104" s="126">
        <v>4</v>
      </c>
      <c r="E104" s="123" t="s">
        <v>286</v>
      </c>
      <c r="F104" s="123"/>
      <c r="G104" s="76">
        <f t="shared" si="24"/>
        <v>1</v>
      </c>
      <c r="H104" s="76">
        <f t="shared" si="25"/>
        <v>1</v>
      </c>
      <c r="I104" s="76">
        <f t="shared" si="26"/>
        <v>1</v>
      </c>
      <c r="J104" s="76">
        <f t="shared" si="27"/>
        <v>1</v>
      </c>
      <c r="K104" s="232">
        <v>56000</v>
      </c>
      <c r="L104" s="232">
        <f t="shared" si="18"/>
        <v>224000</v>
      </c>
      <c r="M104" s="232">
        <f t="shared" si="19"/>
        <v>56000</v>
      </c>
      <c r="N104" s="232">
        <f t="shared" si="20"/>
        <v>56000</v>
      </c>
      <c r="O104" s="232">
        <f t="shared" si="21"/>
        <v>56000</v>
      </c>
      <c r="P104" s="922">
        <f t="shared" si="22"/>
        <v>56000</v>
      </c>
      <c r="Q104" s="925" t="s">
        <v>4236</v>
      </c>
      <c r="R104" s="872"/>
      <c r="S104" s="872"/>
      <c r="T104" s="486">
        <f t="shared" si="23"/>
        <v>4</v>
      </c>
      <c r="U104" s="993"/>
    </row>
    <row r="105" spans="1:21" ht="15.75">
      <c r="A105" s="453">
        <v>102</v>
      </c>
      <c r="B105" s="125" t="s">
        <v>1164</v>
      </c>
      <c r="C105" s="125"/>
      <c r="D105" s="125">
        <v>30</v>
      </c>
      <c r="E105" s="125" t="s">
        <v>286</v>
      </c>
      <c r="F105" s="125"/>
      <c r="G105" s="76">
        <f t="shared" si="24"/>
        <v>7.5</v>
      </c>
      <c r="H105" s="76">
        <f t="shared" si="25"/>
        <v>7.5</v>
      </c>
      <c r="I105" s="76">
        <f t="shared" si="26"/>
        <v>7.5</v>
      </c>
      <c r="J105" s="76">
        <f t="shared" si="27"/>
        <v>7.5</v>
      </c>
      <c r="K105" s="232">
        <v>65000</v>
      </c>
      <c r="L105" s="232">
        <f t="shared" si="18"/>
        <v>1950000</v>
      </c>
      <c r="M105" s="232">
        <f t="shared" si="19"/>
        <v>487500</v>
      </c>
      <c r="N105" s="232">
        <f t="shared" si="20"/>
        <v>487500</v>
      </c>
      <c r="O105" s="232">
        <f t="shared" si="21"/>
        <v>487500</v>
      </c>
      <c r="P105" s="922">
        <f t="shared" si="22"/>
        <v>487500</v>
      </c>
      <c r="Q105" s="925" t="s">
        <v>4236</v>
      </c>
      <c r="R105" s="872"/>
      <c r="S105" s="872"/>
      <c r="T105" s="486">
        <f t="shared" si="23"/>
        <v>30</v>
      </c>
      <c r="U105" s="993"/>
    </row>
    <row r="106" spans="1:21" ht="15.75">
      <c r="A106" s="453">
        <v>103</v>
      </c>
      <c r="B106" s="125" t="s">
        <v>1165</v>
      </c>
      <c r="C106" s="125" t="s">
        <v>1090</v>
      </c>
      <c r="D106" s="125">
        <v>100</v>
      </c>
      <c r="E106" s="125" t="s">
        <v>286</v>
      </c>
      <c r="F106" s="125"/>
      <c r="G106" s="76">
        <f t="shared" si="24"/>
        <v>25</v>
      </c>
      <c r="H106" s="76">
        <f t="shared" si="25"/>
        <v>25</v>
      </c>
      <c r="I106" s="76">
        <f t="shared" si="26"/>
        <v>25</v>
      </c>
      <c r="J106" s="76">
        <f t="shared" si="27"/>
        <v>25</v>
      </c>
      <c r="K106" s="232">
        <v>25000</v>
      </c>
      <c r="L106" s="232">
        <f t="shared" si="18"/>
        <v>2500000</v>
      </c>
      <c r="M106" s="232">
        <f t="shared" si="19"/>
        <v>625000</v>
      </c>
      <c r="N106" s="232">
        <f t="shared" si="20"/>
        <v>625000</v>
      </c>
      <c r="O106" s="232">
        <f t="shared" si="21"/>
        <v>625000</v>
      </c>
      <c r="P106" s="922">
        <f t="shared" si="22"/>
        <v>625000</v>
      </c>
      <c r="Q106" s="925" t="s">
        <v>4236</v>
      </c>
      <c r="R106" s="872"/>
      <c r="S106" s="872"/>
      <c r="T106" s="486">
        <f t="shared" si="23"/>
        <v>100</v>
      </c>
      <c r="U106" s="993"/>
    </row>
    <row r="107" spans="1:21" ht="15.75">
      <c r="A107" s="453">
        <v>104</v>
      </c>
      <c r="B107" s="125" t="s">
        <v>1166</v>
      </c>
      <c r="C107" s="125" t="s">
        <v>1090</v>
      </c>
      <c r="D107" s="125">
        <v>400</v>
      </c>
      <c r="E107" s="125" t="s">
        <v>286</v>
      </c>
      <c r="F107" s="125"/>
      <c r="G107" s="76">
        <f t="shared" si="24"/>
        <v>100</v>
      </c>
      <c r="H107" s="76">
        <f t="shared" si="25"/>
        <v>100</v>
      </c>
      <c r="I107" s="76">
        <f t="shared" si="26"/>
        <v>100</v>
      </c>
      <c r="J107" s="76">
        <f t="shared" si="27"/>
        <v>100</v>
      </c>
      <c r="K107" s="232">
        <v>5800</v>
      </c>
      <c r="L107" s="232">
        <f t="shared" si="18"/>
        <v>2320000</v>
      </c>
      <c r="M107" s="232">
        <f t="shared" si="19"/>
        <v>580000</v>
      </c>
      <c r="N107" s="232">
        <f t="shared" si="20"/>
        <v>580000</v>
      </c>
      <c r="O107" s="232">
        <f t="shared" si="21"/>
        <v>580000</v>
      </c>
      <c r="P107" s="922">
        <f t="shared" si="22"/>
        <v>580000</v>
      </c>
      <c r="Q107" s="925" t="s">
        <v>4236</v>
      </c>
      <c r="R107" s="872"/>
      <c r="S107" s="872"/>
      <c r="T107" s="486">
        <f t="shared" si="23"/>
        <v>400</v>
      </c>
      <c r="U107" s="993"/>
    </row>
    <row r="108" spans="1:21" ht="15.75">
      <c r="A108" s="453">
        <v>105</v>
      </c>
      <c r="B108" s="125" t="s">
        <v>1167</v>
      </c>
      <c r="C108" s="125" t="s">
        <v>1072</v>
      </c>
      <c r="D108" s="125">
        <v>400</v>
      </c>
      <c r="E108" s="125" t="s">
        <v>27</v>
      </c>
      <c r="F108" s="125"/>
      <c r="G108" s="76">
        <f t="shared" si="24"/>
        <v>100</v>
      </c>
      <c r="H108" s="76">
        <f t="shared" si="25"/>
        <v>100</v>
      </c>
      <c r="I108" s="76">
        <f t="shared" si="26"/>
        <v>100</v>
      </c>
      <c r="J108" s="76">
        <f t="shared" si="27"/>
        <v>100</v>
      </c>
      <c r="K108" s="232">
        <v>224000</v>
      </c>
      <c r="L108" s="232">
        <f t="shared" si="18"/>
        <v>89600000</v>
      </c>
      <c r="M108" s="232">
        <f t="shared" si="19"/>
        <v>22400000</v>
      </c>
      <c r="N108" s="232">
        <f t="shared" si="20"/>
        <v>22400000</v>
      </c>
      <c r="O108" s="232">
        <f t="shared" si="21"/>
        <v>22400000</v>
      </c>
      <c r="P108" s="922">
        <f t="shared" si="22"/>
        <v>22400000</v>
      </c>
      <c r="Q108" s="925" t="s">
        <v>4236</v>
      </c>
      <c r="R108" s="872"/>
      <c r="S108" s="872"/>
      <c r="T108" s="486">
        <f t="shared" si="23"/>
        <v>400</v>
      </c>
      <c r="U108" s="993"/>
    </row>
    <row r="109" spans="1:21" ht="15.75">
      <c r="A109" s="453">
        <v>106</v>
      </c>
      <c r="B109" s="125" t="s">
        <v>1168</v>
      </c>
      <c r="C109" s="125" t="s">
        <v>1090</v>
      </c>
      <c r="D109" s="125">
        <v>400</v>
      </c>
      <c r="E109" s="125" t="s">
        <v>286</v>
      </c>
      <c r="F109" s="125"/>
      <c r="G109" s="76">
        <f t="shared" si="24"/>
        <v>100</v>
      </c>
      <c r="H109" s="76">
        <f t="shared" si="25"/>
        <v>100</v>
      </c>
      <c r="I109" s="76">
        <f t="shared" si="26"/>
        <v>100</v>
      </c>
      <c r="J109" s="76">
        <f t="shared" si="27"/>
        <v>100</v>
      </c>
      <c r="K109" s="232">
        <v>26000</v>
      </c>
      <c r="L109" s="232">
        <f t="shared" si="18"/>
        <v>10400000</v>
      </c>
      <c r="M109" s="232">
        <f t="shared" si="19"/>
        <v>2600000</v>
      </c>
      <c r="N109" s="232">
        <f t="shared" si="20"/>
        <v>2600000</v>
      </c>
      <c r="O109" s="232">
        <f t="shared" si="21"/>
        <v>2600000</v>
      </c>
      <c r="P109" s="922">
        <f t="shared" si="22"/>
        <v>2600000</v>
      </c>
      <c r="Q109" s="925" t="s">
        <v>4236</v>
      </c>
      <c r="R109" s="872"/>
      <c r="S109" s="872"/>
      <c r="T109" s="486">
        <f t="shared" si="23"/>
        <v>400</v>
      </c>
      <c r="U109" s="993"/>
    </row>
    <row r="110" spans="1:21" ht="15.75">
      <c r="A110" s="453">
        <v>107</v>
      </c>
      <c r="B110" s="125" t="s">
        <v>1169</v>
      </c>
      <c r="C110" s="125" t="s">
        <v>1090</v>
      </c>
      <c r="D110" s="125">
        <v>60</v>
      </c>
      <c r="E110" s="125" t="s">
        <v>286</v>
      </c>
      <c r="F110" s="125"/>
      <c r="G110" s="76">
        <f t="shared" si="24"/>
        <v>15</v>
      </c>
      <c r="H110" s="76">
        <f t="shared" si="25"/>
        <v>15</v>
      </c>
      <c r="I110" s="76">
        <f t="shared" si="26"/>
        <v>15</v>
      </c>
      <c r="J110" s="76">
        <f t="shared" si="27"/>
        <v>15</v>
      </c>
      <c r="K110" s="232">
        <v>42000</v>
      </c>
      <c r="L110" s="232">
        <f t="shared" si="18"/>
        <v>2520000</v>
      </c>
      <c r="M110" s="232">
        <f t="shared" si="19"/>
        <v>630000</v>
      </c>
      <c r="N110" s="232">
        <f t="shared" si="20"/>
        <v>630000</v>
      </c>
      <c r="O110" s="232">
        <f t="shared" si="21"/>
        <v>630000</v>
      </c>
      <c r="P110" s="922">
        <f t="shared" si="22"/>
        <v>630000</v>
      </c>
      <c r="Q110" s="925" t="s">
        <v>4236</v>
      </c>
      <c r="R110" s="872"/>
      <c r="S110" s="872"/>
      <c r="T110" s="486">
        <f t="shared" si="23"/>
        <v>60</v>
      </c>
      <c r="U110" s="993"/>
    </row>
    <row r="111" spans="1:21" ht="15.75">
      <c r="A111" s="453">
        <v>108</v>
      </c>
      <c r="B111" s="125" t="s">
        <v>1170</v>
      </c>
      <c r="C111" s="125"/>
      <c r="D111" s="125">
        <v>200</v>
      </c>
      <c r="E111" s="125" t="s">
        <v>286</v>
      </c>
      <c r="F111" s="125"/>
      <c r="G111" s="76">
        <f t="shared" si="24"/>
        <v>50</v>
      </c>
      <c r="H111" s="76">
        <f t="shared" si="25"/>
        <v>50</v>
      </c>
      <c r="I111" s="76">
        <f t="shared" si="26"/>
        <v>50</v>
      </c>
      <c r="J111" s="76">
        <f t="shared" si="27"/>
        <v>50</v>
      </c>
      <c r="K111" s="232">
        <v>1439200</v>
      </c>
      <c r="L111" s="232">
        <f t="shared" si="18"/>
        <v>287840000</v>
      </c>
      <c r="M111" s="232">
        <f t="shared" si="19"/>
        <v>71960000</v>
      </c>
      <c r="N111" s="232">
        <f t="shared" si="20"/>
        <v>71960000</v>
      </c>
      <c r="O111" s="232">
        <f t="shared" si="21"/>
        <v>71960000</v>
      </c>
      <c r="P111" s="922">
        <f t="shared" si="22"/>
        <v>71960000</v>
      </c>
      <c r="Q111" s="925" t="s">
        <v>4236</v>
      </c>
      <c r="R111" s="872"/>
      <c r="S111" s="872"/>
      <c r="T111" s="486">
        <f t="shared" si="23"/>
        <v>200</v>
      </c>
      <c r="U111" s="993"/>
    </row>
    <row r="112" spans="1:21" ht="31.5">
      <c r="A112" s="453">
        <v>109</v>
      </c>
      <c r="B112" s="125" t="s">
        <v>1171</v>
      </c>
      <c r="C112" s="125"/>
      <c r="D112" s="125">
        <v>60</v>
      </c>
      <c r="E112" s="125" t="s">
        <v>286</v>
      </c>
      <c r="F112" s="125"/>
      <c r="G112" s="76">
        <f t="shared" si="24"/>
        <v>15</v>
      </c>
      <c r="H112" s="76">
        <f t="shared" si="25"/>
        <v>15</v>
      </c>
      <c r="I112" s="76">
        <f t="shared" si="26"/>
        <v>15</v>
      </c>
      <c r="J112" s="76">
        <f t="shared" si="27"/>
        <v>15</v>
      </c>
      <c r="K112" s="232">
        <v>1495000</v>
      </c>
      <c r="L112" s="232">
        <f t="shared" si="18"/>
        <v>89700000</v>
      </c>
      <c r="M112" s="232">
        <f t="shared" si="19"/>
        <v>22425000</v>
      </c>
      <c r="N112" s="232">
        <f t="shared" si="20"/>
        <v>22425000</v>
      </c>
      <c r="O112" s="232">
        <f t="shared" si="21"/>
        <v>22425000</v>
      </c>
      <c r="P112" s="922">
        <f t="shared" si="22"/>
        <v>22425000</v>
      </c>
      <c r="Q112" s="925" t="s">
        <v>4236</v>
      </c>
      <c r="R112" s="872"/>
      <c r="S112" s="872"/>
      <c r="T112" s="486">
        <f t="shared" si="23"/>
        <v>60</v>
      </c>
      <c r="U112" s="993"/>
    </row>
    <row r="113" spans="1:21" ht="15.75">
      <c r="A113" s="453">
        <v>110</v>
      </c>
      <c r="B113" s="125" t="s">
        <v>1172</v>
      </c>
      <c r="C113" s="125"/>
      <c r="D113" s="125">
        <v>4000</v>
      </c>
      <c r="E113" s="125" t="s">
        <v>286</v>
      </c>
      <c r="F113" s="125"/>
      <c r="G113" s="76">
        <f t="shared" si="24"/>
        <v>1000</v>
      </c>
      <c r="H113" s="76">
        <f t="shared" si="25"/>
        <v>1000</v>
      </c>
      <c r="I113" s="76">
        <f t="shared" si="26"/>
        <v>1000</v>
      </c>
      <c r="J113" s="76">
        <f t="shared" si="27"/>
        <v>1000</v>
      </c>
      <c r="K113" s="232">
        <v>68000</v>
      </c>
      <c r="L113" s="232">
        <f t="shared" si="18"/>
        <v>272000000</v>
      </c>
      <c r="M113" s="232">
        <f t="shared" si="19"/>
        <v>68000000</v>
      </c>
      <c r="N113" s="232">
        <f t="shared" si="20"/>
        <v>68000000</v>
      </c>
      <c r="O113" s="232">
        <f t="shared" si="21"/>
        <v>68000000</v>
      </c>
      <c r="P113" s="922">
        <f t="shared" si="22"/>
        <v>68000000</v>
      </c>
      <c r="Q113" s="925" t="s">
        <v>4236</v>
      </c>
      <c r="R113" s="872"/>
      <c r="S113" s="872"/>
      <c r="T113" s="486">
        <f t="shared" si="23"/>
        <v>4000</v>
      </c>
      <c r="U113" s="993"/>
    </row>
    <row r="114" spans="1:21" ht="15.75">
      <c r="A114" s="453">
        <v>111</v>
      </c>
      <c r="B114" s="126" t="s">
        <v>1173</v>
      </c>
      <c r="C114" s="126"/>
      <c r="D114" s="126">
        <v>12</v>
      </c>
      <c r="E114" s="126" t="s">
        <v>27</v>
      </c>
      <c r="F114" s="126"/>
      <c r="G114" s="76">
        <f t="shared" si="24"/>
        <v>3</v>
      </c>
      <c r="H114" s="76">
        <f t="shared" si="25"/>
        <v>3</v>
      </c>
      <c r="I114" s="76">
        <f t="shared" si="26"/>
        <v>3</v>
      </c>
      <c r="J114" s="76">
        <f t="shared" si="27"/>
        <v>3</v>
      </c>
      <c r="K114" s="232">
        <v>62000</v>
      </c>
      <c r="L114" s="232">
        <f t="shared" si="18"/>
        <v>744000</v>
      </c>
      <c r="M114" s="232">
        <f t="shared" si="19"/>
        <v>186000</v>
      </c>
      <c r="N114" s="232">
        <f t="shared" si="20"/>
        <v>186000</v>
      </c>
      <c r="O114" s="232">
        <f t="shared" si="21"/>
        <v>186000</v>
      </c>
      <c r="P114" s="922">
        <f t="shared" si="22"/>
        <v>186000</v>
      </c>
      <c r="Q114" s="925" t="s">
        <v>4236</v>
      </c>
      <c r="R114" s="872"/>
      <c r="S114" s="872"/>
      <c r="T114" s="486">
        <f t="shared" si="23"/>
        <v>12</v>
      </c>
      <c r="U114" s="993"/>
    </row>
    <row r="115" spans="1:21" ht="31.5">
      <c r="A115" s="453">
        <v>112</v>
      </c>
      <c r="B115" s="125" t="s">
        <v>1174</v>
      </c>
      <c r="C115" s="125"/>
      <c r="D115" s="125">
        <v>200</v>
      </c>
      <c r="E115" s="125" t="s">
        <v>286</v>
      </c>
      <c r="F115" s="125"/>
      <c r="G115" s="76">
        <f t="shared" si="24"/>
        <v>50</v>
      </c>
      <c r="H115" s="76">
        <f t="shared" si="25"/>
        <v>50</v>
      </c>
      <c r="I115" s="76">
        <f t="shared" si="26"/>
        <v>50</v>
      </c>
      <c r="J115" s="76">
        <f t="shared" si="27"/>
        <v>50</v>
      </c>
      <c r="K115" s="232">
        <v>1430250</v>
      </c>
      <c r="L115" s="232">
        <f t="shared" si="18"/>
        <v>286050000</v>
      </c>
      <c r="M115" s="232">
        <f t="shared" si="19"/>
        <v>71512500</v>
      </c>
      <c r="N115" s="232">
        <f t="shared" si="20"/>
        <v>71512500</v>
      </c>
      <c r="O115" s="232">
        <f t="shared" si="21"/>
        <v>71512500</v>
      </c>
      <c r="P115" s="922">
        <f t="shared" si="22"/>
        <v>71512500</v>
      </c>
      <c r="Q115" s="925" t="s">
        <v>4236</v>
      </c>
      <c r="R115" s="872"/>
      <c r="S115" s="872"/>
      <c r="T115" s="486">
        <f t="shared" si="23"/>
        <v>200</v>
      </c>
      <c r="U115" s="993"/>
    </row>
    <row r="116" spans="1:21" ht="15.75">
      <c r="A116" s="453">
        <v>113</v>
      </c>
      <c r="B116" s="128" t="s">
        <v>1148</v>
      </c>
      <c r="C116" s="128" t="s">
        <v>1149</v>
      </c>
      <c r="D116" s="126">
        <v>15</v>
      </c>
      <c r="E116" s="126" t="s">
        <v>518</v>
      </c>
      <c r="F116" s="126"/>
      <c r="G116" s="76">
        <f t="shared" si="24"/>
        <v>3.75</v>
      </c>
      <c r="H116" s="76">
        <f t="shared" si="25"/>
        <v>3.75</v>
      </c>
      <c r="I116" s="76">
        <f t="shared" si="26"/>
        <v>3.75</v>
      </c>
      <c r="J116" s="76">
        <f t="shared" si="27"/>
        <v>3.75</v>
      </c>
      <c r="K116" s="232">
        <v>8500</v>
      </c>
      <c r="L116" s="232">
        <f t="shared" si="18"/>
        <v>127500</v>
      </c>
      <c r="M116" s="232">
        <f t="shared" si="19"/>
        <v>31875</v>
      </c>
      <c r="N116" s="232">
        <f t="shared" si="20"/>
        <v>31875</v>
      </c>
      <c r="O116" s="232">
        <f t="shared" si="21"/>
        <v>31875</v>
      </c>
      <c r="P116" s="922">
        <f t="shared" si="22"/>
        <v>31875</v>
      </c>
      <c r="Q116" s="925" t="s">
        <v>4236</v>
      </c>
      <c r="R116" s="872"/>
      <c r="S116" s="872"/>
      <c r="T116" s="486">
        <f t="shared" si="23"/>
        <v>15</v>
      </c>
      <c r="U116" s="993"/>
    </row>
    <row r="117" spans="1:21" ht="15.75">
      <c r="A117" s="453">
        <v>114</v>
      </c>
      <c r="B117" s="125" t="s">
        <v>1175</v>
      </c>
      <c r="C117" s="125" t="s">
        <v>1090</v>
      </c>
      <c r="D117" s="125">
        <v>200</v>
      </c>
      <c r="E117" s="125" t="s">
        <v>286</v>
      </c>
      <c r="F117" s="125"/>
      <c r="G117" s="76">
        <f t="shared" si="24"/>
        <v>50</v>
      </c>
      <c r="H117" s="76">
        <f t="shared" si="25"/>
        <v>50</v>
      </c>
      <c r="I117" s="76">
        <f t="shared" si="26"/>
        <v>50</v>
      </c>
      <c r="J117" s="76">
        <f t="shared" si="27"/>
        <v>50</v>
      </c>
      <c r="K117" s="232">
        <v>38000</v>
      </c>
      <c r="L117" s="232">
        <f t="shared" si="18"/>
        <v>7600000</v>
      </c>
      <c r="M117" s="232">
        <f t="shared" si="19"/>
        <v>1900000</v>
      </c>
      <c r="N117" s="232">
        <f t="shared" si="20"/>
        <v>1900000</v>
      </c>
      <c r="O117" s="232">
        <f t="shared" si="21"/>
        <v>1900000</v>
      </c>
      <c r="P117" s="922">
        <f t="shared" si="22"/>
        <v>1900000</v>
      </c>
      <c r="Q117" s="925" t="s">
        <v>4236</v>
      </c>
      <c r="R117" s="872"/>
      <c r="S117" s="872"/>
      <c r="T117" s="486">
        <f t="shared" si="23"/>
        <v>200</v>
      </c>
      <c r="U117" s="993"/>
    </row>
    <row r="118" spans="1:21" ht="15.75">
      <c r="A118" s="453">
        <v>115</v>
      </c>
      <c r="B118" s="111" t="s">
        <v>1219</v>
      </c>
      <c r="C118" s="65" t="s">
        <v>1220</v>
      </c>
      <c r="D118" s="452">
        <v>6</v>
      </c>
      <c r="E118" s="65"/>
      <c r="F118" s="65"/>
      <c r="G118" s="65">
        <v>3</v>
      </c>
      <c r="H118" s="65"/>
      <c r="I118" s="65">
        <v>3</v>
      </c>
      <c r="J118" s="65"/>
      <c r="K118" s="232">
        <v>1825000</v>
      </c>
      <c r="L118" s="232">
        <f t="shared" si="18"/>
        <v>10950000</v>
      </c>
      <c r="M118" s="232">
        <f t="shared" si="19"/>
        <v>5475000</v>
      </c>
      <c r="N118" s="232">
        <f t="shared" si="20"/>
        <v>0</v>
      </c>
      <c r="O118" s="232">
        <f t="shared" si="21"/>
        <v>5475000</v>
      </c>
      <c r="P118" s="922">
        <f t="shared" si="22"/>
        <v>0</v>
      </c>
      <c r="Q118" s="925" t="s">
        <v>4236</v>
      </c>
      <c r="R118" s="872"/>
      <c r="S118" s="872"/>
      <c r="T118" s="486">
        <f t="shared" si="23"/>
        <v>6</v>
      </c>
      <c r="U118" s="993"/>
    </row>
    <row r="119" spans="1:21" ht="15.75">
      <c r="A119" s="453">
        <v>116</v>
      </c>
      <c r="B119" s="111" t="s">
        <v>1221</v>
      </c>
      <c r="C119" s="65"/>
      <c r="D119" s="452">
        <v>2</v>
      </c>
      <c r="E119" s="65"/>
      <c r="F119" s="65"/>
      <c r="G119" s="65">
        <v>2</v>
      </c>
      <c r="H119" s="65"/>
      <c r="I119" s="65"/>
      <c r="J119" s="65"/>
      <c r="K119" s="232">
        <v>970000</v>
      </c>
      <c r="L119" s="232">
        <f t="shared" si="18"/>
        <v>1940000</v>
      </c>
      <c r="M119" s="232">
        <f t="shared" si="19"/>
        <v>1940000</v>
      </c>
      <c r="N119" s="232">
        <f t="shared" si="20"/>
        <v>0</v>
      </c>
      <c r="O119" s="232">
        <f t="shared" si="21"/>
        <v>0</v>
      </c>
      <c r="P119" s="922">
        <f t="shared" si="22"/>
        <v>0</v>
      </c>
      <c r="Q119" s="925" t="s">
        <v>4236</v>
      </c>
      <c r="R119" s="872"/>
      <c r="S119" s="872"/>
      <c r="T119" s="486">
        <f t="shared" si="23"/>
        <v>2</v>
      </c>
      <c r="U119" s="993"/>
    </row>
    <row r="120" spans="1:21" ht="15.75">
      <c r="A120" s="453">
        <v>117</v>
      </c>
      <c r="B120" s="65" t="s">
        <v>1222</v>
      </c>
      <c r="C120" s="65" t="s">
        <v>1223</v>
      </c>
      <c r="D120" s="452">
        <v>12</v>
      </c>
      <c r="E120" s="65">
        <v>0</v>
      </c>
      <c r="F120" s="65"/>
      <c r="G120" s="65">
        <v>4</v>
      </c>
      <c r="H120" s="65">
        <v>4</v>
      </c>
      <c r="I120" s="65">
        <v>4</v>
      </c>
      <c r="J120" s="65">
        <v>4</v>
      </c>
      <c r="K120" s="232">
        <v>85000</v>
      </c>
      <c r="L120" s="232">
        <f t="shared" si="18"/>
        <v>1020000</v>
      </c>
      <c r="M120" s="232">
        <f t="shared" si="19"/>
        <v>340000</v>
      </c>
      <c r="N120" s="232">
        <f t="shared" si="20"/>
        <v>340000</v>
      </c>
      <c r="O120" s="232">
        <f t="shared" si="21"/>
        <v>340000</v>
      </c>
      <c r="P120" s="922">
        <f t="shared" si="22"/>
        <v>340000</v>
      </c>
      <c r="Q120" s="925" t="s">
        <v>4236</v>
      </c>
      <c r="R120" s="872"/>
      <c r="S120" s="872"/>
      <c r="T120" s="486">
        <f t="shared" si="23"/>
        <v>12</v>
      </c>
      <c r="U120" s="993"/>
    </row>
    <row r="121" spans="1:21" ht="31.5">
      <c r="A121" s="453">
        <v>118</v>
      </c>
      <c r="B121" s="67" t="s">
        <v>1224</v>
      </c>
      <c r="C121" s="65" t="s">
        <v>1225</v>
      </c>
      <c r="D121" s="452">
        <v>12</v>
      </c>
      <c r="E121" s="65">
        <v>0</v>
      </c>
      <c r="F121" s="65"/>
      <c r="G121" s="65">
        <v>4</v>
      </c>
      <c r="H121" s="65">
        <v>4</v>
      </c>
      <c r="I121" s="65">
        <v>4</v>
      </c>
      <c r="J121" s="65">
        <v>4</v>
      </c>
      <c r="K121" s="232">
        <v>68000</v>
      </c>
      <c r="L121" s="232">
        <f t="shared" si="18"/>
        <v>816000</v>
      </c>
      <c r="M121" s="232">
        <f t="shared" si="19"/>
        <v>272000</v>
      </c>
      <c r="N121" s="232">
        <f t="shared" si="20"/>
        <v>272000</v>
      </c>
      <c r="O121" s="232">
        <f t="shared" si="21"/>
        <v>272000</v>
      </c>
      <c r="P121" s="922">
        <f t="shared" si="22"/>
        <v>272000</v>
      </c>
      <c r="Q121" s="925" t="s">
        <v>4236</v>
      </c>
      <c r="R121" s="872"/>
      <c r="S121" s="872"/>
      <c r="T121" s="486">
        <f t="shared" si="23"/>
        <v>12</v>
      </c>
      <c r="U121" s="993"/>
    </row>
    <row r="122" spans="1:21" ht="15.75">
      <c r="A122" s="453">
        <v>119</v>
      </c>
      <c r="B122" s="65" t="s">
        <v>1226</v>
      </c>
      <c r="C122" s="65" t="s">
        <v>1227</v>
      </c>
      <c r="D122" s="452">
        <v>12</v>
      </c>
      <c r="E122" s="65">
        <v>0</v>
      </c>
      <c r="F122" s="65"/>
      <c r="G122" s="65">
        <v>4</v>
      </c>
      <c r="H122" s="65">
        <v>4</v>
      </c>
      <c r="I122" s="65">
        <v>4</v>
      </c>
      <c r="J122" s="65">
        <v>4</v>
      </c>
      <c r="K122" s="232">
        <v>84000</v>
      </c>
      <c r="L122" s="232">
        <f t="shared" si="18"/>
        <v>1008000</v>
      </c>
      <c r="M122" s="232">
        <f t="shared" si="19"/>
        <v>336000</v>
      </c>
      <c r="N122" s="232">
        <f t="shared" si="20"/>
        <v>336000</v>
      </c>
      <c r="O122" s="232">
        <f t="shared" si="21"/>
        <v>336000</v>
      </c>
      <c r="P122" s="922">
        <f t="shared" si="22"/>
        <v>336000</v>
      </c>
      <c r="Q122" s="925" t="s">
        <v>4236</v>
      </c>
      <c r="R122" s="872"/>
      <c r="S122" s="872"/>
      <c r="T122" s="486">
        <f t="shared" si="23"/>
        <v>12</v>
      </c>
      <c r="U122" s="993"/>
    </row>
    <row r="123" spans="1:21" ht="15.75">
      <c r="A123" s="453">
        <v>120</v>
      </c>
      <c r="B123" s="67" t="s">
        <v>1228</v>
      </c>
      <c r="C123" s="65" t="s">
        <v>1229</v>
      </c>
      <c r="D123" s="452">
        <v>1</v>
      </c>
      <c r="E123" s="65">
        <v>0</v>
      </c>
      <c r="F123" s="65"/>
      <c r="G123" s="65"/>
      <c r="H123" s="65">
        <v>1</v>
      </c>
      <c r="I123" s="65"/>
      <c r="J123" s="65"/>
      <c r="K123" s="232">
        <v>122000000</v>
      </c>
      <c r="L123" s="232">
        <f t="shared" ref="L123:L130" si="28">K123*D123</f>
        <v>122000000</v>
      </c>
      <c r="M123" s="232">
        <f t="shared" ref="M123:M130" si="29">K123*G123</f>
        <v>0</v>
      </c>
      <c r="N123" s="232">
        <f t="shared" ref="N123:N130" si="30">K123*H123</f>
        <v>122000000</v>
      </c>
      <c r="O123" s="232">
        <f t="shared" ref="O123:O130" si="31">K123*I123</f>
        <v>0</v>
      </c>
      <c r="P123" s="922">
        <f t="shared" ref="P123:P130" si="32">K123*J123</f>
        <v>0</v>
      </c>
      <c r="Q123" s="925" t="s">
        <v>4236</v>
      </c>
      <c r="R123" s="872"/>
      <c r="S123" s="872"/>
      <c r="T123" s="486">
        <f t="shared" si="23"/>
        <v>1</v>
      </c>
      <c r="U123" s="993"/>
    </row>
    <row r="124" spans="1:21" ht="15.75">
      <c r="A124" s="453">
        <v>121</v>
      </c>
      <c r="B124" s="67" t="s">
        <v>1230</v>
      </c>
      <c r="C124" s="65" t="s">
        <v>1231</v>
      </c>
      <c r="D124" s="452">
        <v>20</v>
      </c>
      <c r="E124" s="65">
        <v>0</v>
      </c>
      <c r="F124" s="65"/>
      <c r="G124" s="65">
        <v>5</v>
      </c>
      <c r="H124" s="65">
        <v>5</v>
      </c>
      <c r="I124" s="65">
        <v>5</v>
      </c>
      <c r="J124" s="65">
        <v>5</v>
      </c>
      <c r="K124" s="232">
        <v>89900</v>
      </c>
      <c r="L124" s="232">
        <f t="shared" si="28"/>
        <v>1798000</v>
      </c>
      <c r="M124" s="232">
        <f t="shared" si="29"/>
        <v>449500</v>
      </c>
      <c r="N124" s="232">
        <f t="shared" si="30"/>
        <v>449500</v>
      </c>
      <c r="O124" s="232">
        <f t="shared" si="31"/>
        <v>449500</v>
      </c>
      <c r="P124" s="922">
        <f t="shared" si="32"/>
        <v>449500</v>
      </c>
      <c r="Q124" s="925" t="s">
        <v>4236</v>
      </c>
      <c r="R124" s="872"/>
      <c r="S124" s="872"/>
      <c r="T124" s="486">
        <f t="shared" si="23"/>
        <v>20</v>
      </c>
      <c r="U124" s="993"/>
    </row>
    <row r="125" spans="1:21" ht="15.75">
      <c r="A125" s="453">
        <v>122</v>
      </c>
      <c r="B125" s="67" t="s">
        <v>1232</v>
      </c>
      <c r="C125" s="65" t="s">
        <v>1233</v>
      </c>
      <c r="D125" s="452">
        <v>20</v>
      </c>
      <c r="E125" s="65">
        <v>0</v>
      </c>
      <c r="F125" s="65"/>
      <c r="G125" s="65">
        <v>5</v>
      </c>
      <c r="H125" s="65">
        <v>5</v>
      </c>
      <c r="I125" s="65">
        <v>5</v>
      </c>
      <c r="J125" s="65">
        <v>5</v>
      </c>
      <c r="K125" s="232">
        <v>95000</v>
      </c>
      <c r="L125" s="232">
        <f t="shared" si="28"/>
        <v>1900000</v>
      </c>
      <c r="M125" s="232">
        <f t="shared" si="29"/>
        <v>475000</v>
      </c>
      <c r="N125" s="232">
        <f t="shared" si="30"/>
        <v>475000</v>
      </c>
      <c r="O125" s="232">
        <f t="shared" si="31"/>
        <v>475000</v>
      </c>
      <c r="P125" s="922">
        <f t="shared" si="32"/>
        <v>475000</v>
      </c>
      <c r="Q125" s="925" t="s">
        <v>4236</v>
      </c>
      <c r="R125" s="872"/>
      <c r="S125" s="872"/>
      <c r="T125" s="486">
        <f t="shared" si="23"/>
        <v>20</v>
      </c>
      <c r="U125" s="993"/>
    </row>
    <row r="126" spans="1:21" ht="15.75">
      <c r="A126" s="453">
        <v>123</v>
      </c>
      <c r="B126" s="67" t="s">
        <v>1234</v>
      </c>
      <c r="C126" s="65" t="s">
        <v>1235</v>
      </c>
      <c r="D126" s="452">
        <v>20</v>
      </c>
      <c r="E126" s="65">
        <v>0</v>
      </c>
      <c r="F126" s="65"/>
      <c r="G126" s="65">
        <v>5</v>
      </c>
      <c r="H126" s="65">
        <v>5</v>
      </c>
      <c r="I126" s="65">
        <v>5</v>
      </c>
      <c r="J126" s="65">
        <v>5</v>
      </c>
      <c r="K126" s="232">
        <v>97000</v>
      </c>
      <c r="L126" s="232">
        <f t="shared" si="28"/>
        <v>1940000</v>
      </c>
      <c r="M126" s="232">
        <f t="shared" si="29"/>
        <v>485000</v>
      </c>
      <c r="N126" s="232">
        <f t="shared" si="30"/>
        <v>485000</v>
      </c>
      <c r="O126" s="232">
        <f t="shared" si="31"/>
        <v>485000</v>
      </c>
      <c r="P126" s="922">
        <f t="shared" si="32"/>
        <v>485000</v>
      </c>
      <c r="Q126" s="925" t="s">
        <v>4236</v>
      </c>
      <c r="R126" s="872"/>
      <c r="S126" s="872"/>
      <c r="T126" s="486">
        <f t="shared" si="23"/>
        <v>20</v>
      </c>
      <c r="U126" s="993"/>
    </row>
    <row r="127" spans="1:21" ht="15.75">
      <c r="A127" s="453">
        <v>124</v>
      </c>
      <c r="B127" s="70" t="s">
        <v>1236</v>
      </c>
      <c r="C127" s="59" t="s">
        <v>1237</v>
      </c>
      <c r="D127" s="59">
        <v>1</v>
      </c>
      <c r="E127" s="59"/>
      <c r="F127" s="59"/>
      <c r="G127" s="59">
        <v>1</v>
      </c>
      <c r="H127" s="59"/>
      <c r="I127" s="59"/>
      <c r="J127" s="59"/>
      <c r="K127" s="232">
        <v>256000</v>
      </c>
      <c r="L127" s="232">
        <f t="shared" si="28"/>
        <v>256000</v>
      </c>
      <c r="M127" s="232">
        <f t="shared" si="29"/>
        <v>256000</v>
      </c>
      <c r="N127" s="232">
        <f t="shared" si="30"/>
        <v>0</v>
      </c>
      <c r="O127" s="232">
        <f t="shared" si="31"/>
        <v>0</v>
      </c>
      <c r="P127" s="922">
        <f t="shared" si="32"/>
        <v>0</v>
      </c>
      <c r="Q127" s="905" t="s">
        <v>4227</v>
      </c>
      <c r="R127" s="872"/>
      <c r="S127" s="872"/>
      <c r="T127" s="486">
        <f t="shared" si="23"/>
        <v>1</v>
      </c>
      <c r="U127" s="993"/>
    </row>
    <row r="128" spans="1:21" ht="15.75">
      <c r="A128" s="453">
        <v>125</v>
      </c>
      <c r="B128" s="64" t="s">
        <v>1238</v>
      </c>
      <c r="C128" s="64" t="s">
        <v>1239</v>
      </c>
      <c r="D128" s="452">
        <v>5</v>
      </c>
      <c r="E128" s="65"/>
      <c r="F128" s="65"/>
      <c r="G128" s="65">
        <v>5</v>
      </c>
      <c r="H128" s="65"/>
      <c r="I128" s="65"/>
      <c r="J128" s="65"/>
      <c r="K128" s="232">
        <v>650000</v>
      </c>
      <c r="L128" s="232">
        <f t="shared" si="28"/>
        <v>3250000</v>
      </c>
      <c r="M128" s="232">
        <f t="shared" si="29"/>
        <v>3250000</v>
      </c>
      <c r="N128" s="232">
        <f t="shared" si="30"/>
        <v>0</v>
      </c>
      <c r="O128" s="232">
        <f t="shared" si="31"/>
        <v>0</v>
      </c>
      <c r="P128" s="922">
        <f t="shared" si="32"/>
        <v>0</v>
      </c>
      <c r="Q128" s="925" t="s">
        <v>4236</v>
      </c>
      <c r="R128" s="872"/>
      <c r="S128" s="872"/>
      <c r="T128" s="486">
        <f t="shared" si="23"/>
        <v>5</v>
      </c>
      <c r="U128" s="993"/>
    </row>
    <row r="129" spans="1:21" ht="15.75">
      <c r="A129" s="453">
        <v>126</v>
      </c>
      <c r="B129" s="59" t="s">
        <v>1240</v>
      </c>
      <c r="C129" s="59" t="s">
        <v>1241</v>
      </c>
      <c r="D129" s="59">
        <v>6</v>
      </c>
      <c r="E129" s="59"/>
      <c r="F129" s="59"/>
      <c r="G129" s="59"/>
      <c r="H129" s="59">
        <v>2</v>
      </c>
      <c r="I129" s="59">
        <v>2</v>
      </c>
      <c r="J129" s="59">
        <v>2</v>
      </c>
      <c r="K129" s="232">
        <v>4400000</v>
      </c>
      <c r="L129" s="232">
        <f t="shared" si="28"/>
        <v>26400000</v>
      </c>
      <c r="M129" s="232">
        <f t="shared" si="29"/>
        <v>0</v>
      </c>
      <c r="N129" s="232">
        <f t="shared" si="30"/>
        <v>8800000</v>
      </c>
      <c r="O129" s="232">
        <f t="shared" si="31"/>
        <v>8800000</v>
      </c>
      <c r="P129" s="922">
        <f t="shared" si="32"/>
        <v>8800000</v>
      </c>
      <c r="Q129" s="925" t="s">
        <v>4236</v>
      </c>
      <c r="R129" s="872"/>
      <c r="S129" s="872"/>
      <c r="T129" s="486">
        <f t="shared" si="23"/>
        <v>6</v>
      </c>
      <c r="U129" s="993"/>
    </row>
    <row r="130" spans="1:21" ht="28.5">
      <c r="A130" s="453">
        <v>127</v>
      </c>
      <c r="B130" s="70" t="s">
        <v>3063</v>
      </c>
      <c r="C130" s="59"/>
      <c r="D130" s="59">
        <v>10</v>
      </c>
      <c r="E130" s="59"/>
      <c r="F130" s="59"/>
      <c r="G130" s="59">
        <v>0</v>
      </c>
      <c r="H130" s="59">
        <v>5</v>
      </c>
      <c r="I130" s="59">
        <v>5</v>
      </c>
      <c r="J130" s="59"/>
      <c r="K130" s="232">
        <v>19000000</v>
      </c>
      <c r="L130" s="232">
        <f t="shared" si="28"/>
        <v>190000000</v>
      </c>
      <c r="M130" s="232">
        <f t="shared" si="29"/>
        <v>0</v>
      </c>
      <c r="N130" s="232">
        <f t="shared" si="30"/>
        <v>95000000</v>
      </c>
      <c r="O130" s="232">
        <f t="shared" si="31"/>
        <v>95000000</v>
      </c>
      <c r="P130" s="922">
        <f t="shared" si="32"/>
        <v>0</v>
      </c>
      <c r="Q130" s="657" t="s">
        <v>4719</v>
      </c>
      <c r="R130" s="872" t="s">
        <v>4872</v>
      </c>
      <c r="S130" s="872">
        <v>10</v>
      </c>
      <c r="T130" s="486">
        <f t="shared" si="23"/>
        <v>0</v>
      </c>
      <c r="U130" s="993">
        <v>182000000</v>
      </c>
    </row>
    <row r="131" spans="1:21" ht="18.75">
      <c r="A131" s="1170" t="s">
        <v>1242</v>
      </c>
      <c r="B131" s="1170"/>
      <c r="C131" s="1170"/>
      <c r="D131" s="1170"/>
      <c r="E131" s="1170"/>
      <c r="F131" s="1170"/>
      <c r="G131" s="1170"/>
      <c r="H131" s="1170"/>
      <c r="I131" s="1170"/>
      <c r="J131" s="1170"/>
      <c r="K131" s="232"/>
      <c r="L131" s="244">
        <f>SUM(L132:L159)</f>
        <v>6222935590.3999996</v>
      </c>
      <c r="M131" s="244">
        <f>SUM(M132:M159)</f>
        <v>1533654917.5999999</v>
      </c>
      <c r="N131" s="244">
        <f>SUM(N132:N159)</f>
        <v>1613617877.5999999</v>
      </c>
      <c r="O131" s="244">
        <f>SUM(O132:O159)</f>
        <v>1533654917.5999999</v>
      </c>
      <c r="P131" s="921">
        <f>SUM(P132:P159)</f>
        <v>1542007877.5999999</v>
      </c>
      <c r="Q131" s="464"/>
      <c r="R131" s="872"/>
      <c r="S131" s="872"/>
      <c r="T131" s="486">
        <f t="shared" si="23"/>
        <v>0</v>
      </c>
      <c r="U131" s="993"/>
    </row>
    <row r="132" spans="1:21" ht="15.75">
      <c r="A132" s="67">
        <v>128</v>
      </c>
      <c r="B132" s="123" t="s">
        <v>1181</v>
      </c>
      <c r="C132" s="105" t="s">
        <v>1182</v>
      </c>
      <c r="D132" s="69">
        <v>500</v>
      </c>
      <c r="E132" s="65" t="s">
        <v>126</v>
      </c>
      <c r="F132" s="65"/>
      <c r="G132" s="76">
        <v>0</v>
      </c>
      <c r="H132" s="76">
        <v>500</v>
      </c>
      <c r="I132" s="76">
        <v>0</v>
      </c>
      <c r="J132" s="76">
        <v>0</v>
      </c>
      <c r="K132" s="233">
        <v>36960</v>
      </c>
      <c r="L132" s="234">
        <f>K132*D132</f>
        <v>18480000</v>
      </c>
      <c r="M132" s="234">
        <f>K132*G132</f>
        <v>0</v>
      </c>
      <c r="N132" s="234">
        <f>K132*H132</f>
        <v>18480000</v>
      </c>
      <c r="O132" s="234">
        <f>K132*I132</f>
        <v>0</v>
      </c>
      <c r="P132" s="923">
        <f>K132*J132</f>
        <v>0</v>
      </c>
      <c r="Q132" s="905" t="s">
        <v>4227</v>
      </c>
      <c r="R132" s="872"/>
      <c r="S132" s="872"/>
      <c r="T132" s="486">
        <f t="shared" ref="T132:T189" si="33">D132-S132</f>
        <v>500</v>
      </c>
      <c r="U132" s="993"/>
    </row>
    <row r="133" spans="1:21" ht="15.75">
      <c r="A133" s="67">
        <v>129</v>
      </c>
      <c r="B133" s="123" t="s">
        <v>1181</v>
      </c>
      <c r="C133" s="105" t="s">
        <v>1183</v>
      </c>
      <c r="D133" s="69">
        <v>1000</v>
      </c>
      <c r="E133" s="65" t="s">
        <v>126</v>
      </c>
      <c r="F133" s="65"/>
      <c r="G133" s="76">
        <v>0</v>
      </c>
      <c r="H133" s="76">
        <v>1000</v>
      </c>
      <c r="I133" s="76">
        <v>0</v>
      </c>
      <c r="J133" s="76">
        <v>0</v>
      </c>
      <c r="K133" s="233">
        <v>53130</v>
      </c>
      <c r="L133" s="234">
        <f t="shared" ref="L133:L159" si="34">K133*D133</f>
        <v>53130000</v>
      </c>
      <c r="M133" s="234">
        <f t="shared" ref="M133:M159" si="35">K133*G133</f>
        <v>0</v>
      </c>
      <c r="N133" s="234">
        <f t="shared" ref="N133:N159" si="36">K133*H133</f>
        <v>53130000</v>
      </c>
      <c r="O133" s="234">
        <f t="shared" ref="O133:O159" si="37">K133*I133</f>
        <v>0</v>
      </c>
      <c r="P133" s="923">
        <f t="shared" ref="P133:P159" si="38">K133*J133</f>
        <v>0</v>
      </c>
      <c r="Q133" s="905" t="s">
        <v>4227</v>
      </c>
      <c r="R133" s="872"/>
      <c r="S133" s="872"/>
      <c r="T133" s="486">
        <f t="shared" si="33"/>
        <v>1000</v>
      </c>
      <c r="U133" s="993"/>
    </row>
    <row r="134" spans="1:21" ht="15.75">
      <c r="A134" s="453">
        <v>130</v>
      </c>
      <c r="B134" s="123" t="s">
        <v>1184</v>
      </c>
      <c r="C134" s="105"/>
      <c r="D134" s="69">
        <v>100</v>
      </c>
      <c r="E134" s="65" t="s">
        <v>286</v>
      </c>
      <c r="F134" s="65"/>
      <c r="G134" s="76">
        <f t="shared" ref="G134:G156" si="39">D134/4</f>
        <v>25</v>
      </c>
      <c r="H134" s="76">
        <f t="shared" ref="H134:H156" si="40">D134/4</f>
        <v>25</v>
      </c>
      <c r="I134" s="76">
        <f t="shared" ref="I134:I156" si="41">D134/4</f>
        <v>25</v>
      </c>
      <c r="J134" s="76">
        <f t="shared" ref="J134:J156" si="42">D134/4</f>
        <v>25</v>
      </c>
      <c r="K134" s="234">
        <v>1200000</v>
      </c>
      <c r="L134" s="234">
        <f t="shared" si="34"/>
        <v>120000000</v>
      </c>
      <c r="M134" s="234">
        <f t="shared" si="35"/>
        <v>30000000</v>
      </c>
      <c r="N134" s="234">
        <f t="shared" si="36"/>
        <v>30000000</v>
      </c>
      <c r="O134" s="234">
        <f t="shared" si="37"/>
        <v>30000000</v>
      </c>
      <c r="P134" s="923">
        <f t="shared" si="38"/>
        <v>30000000</v>
      </c>
      <c r="Q134" s="905" t="s">
        <v>4227</v>
      </c>
      <c r="R134" s="872"/>
      <c r="S134" s="872"/>
      <c r="T134" s="486">
        <f t="shared" si="33"/>
        <v>100</v>
      </c>
      <c r="U134" s="993"/>
    </row>
    <row r="135" spans="1:21" ht="15.75">
      <c r="A135" s="453">
        <v>131</v>
      </c>
      <c r="B135" s="123" t="s">
        <v>1185</v>
      </c>
      <c r="C135" s="67"/>
      <c r="D135" s="69">
        <v>100</v>
      </c>
      <c r="E135" s="123" t="s">
        <v>126</v>
      </c>
      <c r="F135" s="123"/>
      <c r="G135" s="76">
        <f t="shared" si="39"/>
        <v>25</v>
      </c>
      <c r="H135" s="76">
        <f t="shared" si="40"/>
        <v>25</v>
      </c>
      <c r="I135" s="76">
        <f t="shared" si="41"/>
        <v>25</v>
      </c>
      <c r="J135" s="76">
        <f t="shared" si="42"/>
        <v>25</v>
      </c>
      <c r="K135" s="234">
        <v>1100000</v>
      </c>
      <c r="L135" s="234">
        <f t="shared" si="34"/>
        <v>110000000</v>
      </c>
      <c r="M135" s="234">
        <f t="shared" si="35"/>
        <v>27500000</v>
      </c>
      <c r="N135" s="234">
        <f t="shared" si="36"/>
        <v>27500000</v>
      </c>
      <c r="O135" s="234">
        <f t="shared" si="37"/>
        <v>27500000</v>
      </c>
      <c r="P135" s="923">
        <f t="shared" si="38"/>
        <v>27500000</v>
      </c>
      <c r="Q135" s="905" t="s">
        <v>4227</v>
      </c>
      <c r="R135" s="872"/>
      <c r="S135" s="872"/>
      <c r="T135" s="486">
        <f t="shared" si="33"/>
        <v>100</v>
      </c>
      <c r="U135" s="993"/>
    </row>
    <row r="136" spans="1:21" ht="15.75">
      <c r="A136" s="453">
        <v>132</v>
      </c>
      <c r="B136" s="123" t="s">
        <v>1186</v>
      </c>
      <c r="C136" s="67"/>
      <c r="D136" s="69">
        <v>24</v>
      </c>
      <c r="E136" s="123" t="s">
        <v>126</v>
      </c>
      <c r="F136" s="123"/>
      <c r="G136" s="76">
        <f t="shared" si="39"/>
        <v>6</v>
      </c>
      <c r="H136" s="76">
        <f t="shared" si="40"/>
        <v>6</v>
      </c>
      <c r="I136" s="76">
        <f t="shared" si="41"/>
        <v>6</v>
      </c>
      <c r="J136" s="76">
        <f t="shared" si="42"/>
        <v>6</v>
      </c>
      <c r="K136" s="234">
        <v>600000</v>
      </c>
      <c r="L136" s="234">
        <f t="shared" si="34"/>
        <v>14400000</v>
      </c>
      <c r="M136" s="234">
        <f t="shared" si="35"/>
        <v>3600000</v>
      </c>
      <c r="N136" s="234">
        <f t="shared" si="36"/>
        <v>3600000</v>
      </c>
      <c r="O136" s="234">
        <f t="shared" si="37"/>
        <v>3600000</v>
      </c>
      <c r="P136" s="923">
        <f t="shared" si="38"/>
        <v>3600000</v>
      </c>
      <c r="Q136" s="905" t="s">
        <v>4227</v>
      </c>
      <c r="R136" s="872"/>
      <c r="S136" s="872"/>
      <c r="T136" s="486">
        <f t="shared" si="33"/>
        <v>24</v>
      </c>
      <c r="U136" s="993"/>
    </row>
    <row r="137" spans="1:21" ht="15.75">
      <c r="A137" s="453">
        <v>133</v>
      </c>
      <c r="B137" s="123" t="s">
        <v>1187</v>
      </c>
      <c r="C137" s="67"/>
      <c r="D137" s="69">
        <v>50</v>
      </c>
      <c r="E137" s="123" t="s">
        <v>126</v>
      </c>
      <c r="F137" s="123"/>
      <c r="G137" s="76">
        <f t="shared" si="39"/>
        <v>12.5</v>
      </c>
      <c r="H137" s="76">
        <f t="shared" si="40"/>
        <v>12.5</v>
      </c>
      <c r="I137" s="76">
        <f t="shared" si="41"/>
        <v>12.5</v>
      </c>
      <c r="J137" s="76">
        <f t="shared" si="42"/>
        <v>12.5</v>
      </c>
      <c r="K137" s="234">
        <v>750000</v>
      </c>
      <c r="L137" s="234">
        <f t="shared" si="34"/>
        <v>37500000</v>
      </c>
      <c r="M137" s="234">
        <f t="shared" si="35"/>
        <v>9375000</v>
      </c>
      <c r="N137" s="234">
        <f t="shared" si="36"/>
        <v>9375000</v>
      </c>
      <c r="O137" s="234">
        <f t="shared" si="37"/>
        <v>9375000</v>
      </c>
      <c r="P137" s="923">
        <f t="shared" si="38"/>
        <v>9375000</v>
      </c>
      <c r="Q137" s="905" t="s">
        <v>4227</v>
      </c>
      <c r="R137" s="872"/>
      <c r="S137" s="872"/>
      <c r="T137" s="486">
        <f t="shared" si="33"/>
        <v>50</v>
      </c>
      <c r="U137" s="993"/>
    </row>
    <row r="138" spans="1:21" ht="15.75">
      <c r="A138" s="453">
        <v>134</v>
      </c>
      <c r="B138" s="123" t="s">
        <v>1188</v>
      </c>
      <c r="C138" s="67"/>
      <c r="D138" s="69">
        <v>100</v>
      </c>
      <c r="E138" s="123" t="s">
        <v>126</v>
      </c>
      <c r="F138" s="123"/>
      <c r="G138" s="76">
        <f t="shared" si="39"/>
        <v>25</v>
      </c>
      <c r="H138" s="76">
        <f t="shared" si="40"/>
        <v>25</v>
      </c>
      <c r="I138" s="76">
        <f t="shared" si="41"/>
        <v>25</v>
      </c>
      <c r="J138" s="76">
        <f t="shared" si="42"/>
        <v>25</v>
      </c>
      <c r="K138" s="234">
        <v>560000</v>
      </c>
      <c r="L138" s="234">
        <f t="shared" si="34"/>
        <v>56000000</v>
      </c>
      <c r="M138" s="234">
        <f t="shared" si="35"/>
        <v>14000000</v>
      </c>
      <c r="N138" s="234">
        <f t="shared" si="36"/>
        <v>14000000</v>
      </c>
      <c r="O138" s="234">
        <f t="shared" si="37"/>
        <v>14000000</v>
      </c>
      <c r="P138" s="923">
        <f t="shared" si="38"/>
        <v>14000000</v>
      </c>
      <c r="Q138" s="905" t="s">
        <v>4227</v>
      </c>
      <c r="R138" s="872"/>
      <c r="S138" s="872"/>
      <c r="T138" s="486">
        <f t="shared" si="33"/>
        <v>100</v>
      </c>
      <c r="U138" s="993"/>
    </row>
    <row r="139" spans="1:21" ht="15.75">
      <c r="A139" s="453">
        <v>135</v>
      </c>
      <c r="B139" s="123" t="s">
        <v>1189</v>
      </c>
      <c r="C139" s="67"/>
      <c r="D139" s="69">
        <v>40</v>
      </c>
      <c r="E139" s="123" t="s">
        <v>1215</v>
      </c>
      <c r="F139" s="123"/>
      <c r="G139" s="76">
        <f t="shared" si="39"/>
        <v>10</v>
      </c>
      <c r="H139" s="76">
        <f t="shared" si="40"/>
        <v>10</v>
      </c>
      <c r="I139" s="76">
        <f t="shared" si="41"/>
        <v>10</v>
      </c>
      <c r="J139" s="76">
        <f t="shared" si="42"/>
        <v>10</v>
      </c>
      <c r="K139" s="233">
        <v>7028560</v>
      </c>
      <c r="L139" s="234">
        <f t="shared" si="34"/>
        <v>281142400</v>
      </c>
      <c r="M139" s="234">
        <f t="shared" si="35"/>
        <v>70285600</v>
      </c>
      <c r="N139" s="234">
        <f t="shared" si="36"/>
        <v>70285600</v>
      </c>
      <c r="O139" s="234">
        <f t="shared" si="37"/>
        <v>70285600</v>
      </c>
      <c r="P139" s="923">
        <f t="shared" si="38"/>
        <v>70285600</v>
      </c>
      <c r="Q139" s="905" t="s">
        <v>4227</v>
      </c>
      <c r="R139" s="872"/>
      <c r="S139" s="872"/>
      <c r="T139" s="486">
        <f t="shared" si="33"/>
        <v>40</v>
      </c>
      <c r="U139" s="993"/>
    </row>
    <row r="140" spans="1:21" ht="15.75">
      <c r="A140" s="453">
        <v>136</v>
      </c>
      <c r="B140" s="123" t="s">
        <v>1190</v>
      </c>
      <c r="C140" s="67"/>
      <c r="D140" s="69">
        <v>40</v>
      </c>
      <c r="E140" s="123" t="s">
        <v>1215</v>
      </c>
      <c r="F140" s="123"/>
      <c r="G140" s="76">
        <f t="shared" si="39"/>
        <v>10</v>
      </c>
      <c r="H140" s="76">
        <f t="shared" si="40"/>
        <v>10</v>
      </c>
      <c r="I140" s="76">
        <f t="shared" si="41"/>
        <v>10</v>
      </c>
      <c r="J140" s="76">
        <f t="shared" si="42"/>
        <v>10</v>
      </c>
      <c r="K140" s="233">
        <v>8473080</v>
      </c>
      <c r="L140" s="234">
        <f t="shared" si="34"/>
        <v>338923200</v>
      </c>
      <c r="M140" s="234">
        <f t="shared" si="35"/>
        <v>84730800</v>
      </c>
      <c r="N140" s="234">
        <f t="shared" si="36"/>
        <v>84730800</v>
      </c>
      <c r="O140" s="234">
        <f t="shared" si="37"/>
        <v>84730800</v>
      </c>
      <c r="P140" s="923">
        <f t="shared" si="38"/>
        <v>84730800</v>
      </c>
      <c r="Q140" s="905" t="s">
        <v>4227</v>
      </c>
      <c r="R140" s="872"/>
      <c r="S140" s="872"/>
      <c r="T140" s="486">
        <f t="shared" si="33"/>
        <v>40</v>
      </c>
      <c r="U140" s="993"/>
    </row>
    <row r="141" spans="1:21" ht="28.5">
      <c r="A141" s="453">
        <v>137</v>
      </c>
      <c r="B141" s="123" t="s">
        <v>1191</v>
      </c>
      <c r="C141" s="67"/>
      <c r="D141" s="69">
        <v>40</v>
      </c>
      <c r="E141" s="123" t="s">
        <v>1215</v>
      </c>
      <c r="F141" s="123"/>
      <c r="G141" s="76">
        <f t="shared" si="39"/>
        <v>10</v>
      </c>
      <c r="H141" s="76">
        <f t="shared" si="40"/>
        <v>10</v>
      </c>
      <c r="I141" s="76">
        <f t="shared" si="41"/>
        <v>10</v>
      </c>
      <c r="J141" s="76">
        <f t="shared" si="42"/>
        <v>10</v>
      </c>
      <c r="K141" s="233">
        <v>11831881.6</v>
      </c>
      <c r="L141" s="234">
        <f t="shared" si="34"/>
        <v>473275264</v>
      </c>
      <c r="M141" s="234">
        <f t="shared" si="35"/>
        <v>118318816</v>
      </c>
      <c r="N141" s="234">
        <f t="shared" si="36"/>
        <v>118318816</v>
      </c>
      <c r="O141" s="234">
        <f t="shared" si="37"/>
        <v>118318816</v>
      </c>
      <c r="P141" s="923">
        <f t="shared" si="38"/>
        <v>118318816</v>
      </c>
      <c r="Q141" s="905" t="s">
        <v>4227</v>
      </c>
      <c r="R141" s="872" t="s">
        <v>4876</v>
      </c>
      <c r="S141" s="872">
        <v>20</v>
      </c>
      <c r="T141" s="486">
        <f t="shared" si="33"/>
        <v>20</v>
      </c>
      <c r="U141" s="993">
        <v>200000000</v>
      </c>
    </row>
    <row r="142" spans="1:21" ht="28.5">
      <c r="A142" s="453">
        <v>138</v>
      </c>
      <c r="B142" s="123" t="s">
        <v>1192</v>
      </c>
      <c r="C142" s="67"/>
      <c r="D142" s="69">
        <v>40</v>
      </c>
      <c r="E142" s="123" t="s">
        <v>1215</v>
      </c>
      <c r="F142" s="123"/>
      <c r="G142" s="76">
        <f t="shared" si="39"/>
        <v>10</v>
      </c>
      <c r="H142" s="76">
        <f t="shared" si="40"/>
        <v>10</v>
      </c>
      <c r="I142" s="76">
        <f t="shared" si="41"/>
        <v>10</v>
      </c>
      <c r="J142" s="76">
        <f t="shared" si="42"/>
        <v>10</v>
      </c>
      <c r="K142" s="233">
        <v>15545376</v>
      </c>
      <c r="L142" s="234">
        <f t="shared" si="34"/>
        <v>621815040</v>
      </c>
      <c r="M142" s="234">
        <f t="shared" si="35"/>
        <v>155453760</v>
      </c>
      <c r="N142" s="234">
        <f t="shared" si="36"/>
        <v>155453760</v>
      </c>
      <c r="O142" s="234">
        <f t="shared" si="37"/>
        <v>155453760</v>
      </c>
      <c r="P142" s="923">
        <f t="shared" si="38"/>
        <v>155453760</v>
      </c>
      <c r="Q142" s="905" t="s">
        <v>4227</v>
      </c>
      <c r="R142" s="872" t="s">
        <v>4875</v>
      </c>
      <c r="S142" s="872">
        <v>20</v>
      </c>
      <c r="T142" s="486">
        <f t="shared" si="33"/>
        <v>20</v>
      </c>
      <c r="U142" s="993">
        <v>259998000</v>
      </c>
    </row>
    <row r="143" spans="1:21" ht="31.5">
      <c r="A143" s="453">
        <v>139</v>
      </c>
      <c r="B143" s="123" t="s">
        <v>1193</v>
      </c>
      <c r="C143" s="67" t="s">
        <v>1194</v>
      </c>
      <c r="D143" s="69">
        <v>60</v>
      </c>
      <c r="E143" s="123" t="s">
        <v>1215</v>
      </c>
      <c r="F143" s="123"/>
      <c r="G143" s="76">
        <f t="shared" si="39"/>
        <v>15</v>
      </c>
      <c r="H143" s="76">
        <f t="shared" si="40"/>
        <v>15</v>
      </c>
      <c r="I143" s="76">
        <f t="shared" si="41"/>
        <v>15</v>
      </c>
      <c r="J143" s="76">
        <f t="shared" si="42"/>
        <v>15</v>
      </c>
      <c r="K143" s="233">
        <v>9043680.8000000007</v>
      </c>
      <c r="L143" s="234">
        <f t="shared" si="34"/>
        <v>542620848</v>
      </c>
      <c r="M143" s="234">
        <f t="shared" si="35"/>
        <v>135655212</v>
      </c>
      <c r="N143" s="234">
        <f t="shared" si="36"/>
        <v>135655212</v>
      </c>
      <c r="O143" s="234">
        <f t="shared" si="37"/>
        <v>135655212</v>
      </c>
      <c r="P143" s="923">
        <f t="shared" si="38"/>
        <v>135655212</v>
      </c>
      <c r="Q143" s="905" t="s">
        <v>4227</v>
      </c>
      <c r="R143" s="872" t="s">
        <v>4745</v>
      </c>
      <c r="S143" s="872">
        <v>10</v>
      </c>
      <c r="T143" s="486">
        <f t="shared" si="33"/>
        <v>50</v>
      </c>
      <c r="U143" s="993">
        <v>63890000</v>
      </c>
    </row>
    <row r="144" spans="1:21" ht="28.5">
      <c r="A144" s="453">
        <v>140</v>
      </c>
      <c r="B144" s="123" t="s">
        <v>1195</v>
      </c>
      <c r="C144" s="67" t="s">
        <v>1196</v>
      </c>
      <c r="D144" s="69">
        <v>50</v>
      </c>
      <c r="E144" s="123" t="s">
        <v>1215</v>
      </c>
      <c r="F144" s="123"/>
      <c r="G144" s="76">
        <f t="shared" si="39"/>
        <v>12.5</v>
      </c>
      <c r="H144" s="76">
        <f t="shared" si="40"/>
        <v>12.5</v>
      </c>
      <c r="I144" s="76">
        <f t="shared" si="41"/>
        <v>12.5</v>
      </c>
      <c r="J144" s="76">
        <f t="shared" si="42"/>
        <v>12.5</v>
      </c>
      <c r="K144" s="233">
        <v>7028560</v>
      </c>
      <c r="L144" s="234">
        <f t="shared" si="34"/>
        <v>351428000</v>
      </c>
      <c r="M144" s="234">
        <f t="shared" si="35"/>
        <v>87857000</v>
      </c>
      <c r="N144" s="234">
        <f t="shared" si="36"/>
        <v>87857000</v>
      </c>
      <c r="O144" s="234">
        <f t="shared" si="37"/>
        <v>87857000</v>
      </c>
      <c r="P144" s="923">
        <f t="shared" si="38"/>
        <v>87857000</v>
      </c>
      <c r="Q144" s="905" t="s">
        <v>4227</v>
      </c>
      <c r="R144" s="872" t="s">
        <v>4744</v>
      </c>
      <c r="S144" s="872">
        <v>10</v>
      </c>
      <c r="T144" s="486">
        <f t="shared" si="33"/>
        <v>40</v>
      </c>
      <c r="U144" s="993">
        <v>82214720</v>
      </c>
    </row>
    <row r="145" spans="1:21" ht="31.5">
      <c r="A145" s="453">
        <v>141</v>
      </c>
      <c r="B145" s="123" t="s">
        <v>1197</v>
      </c>
      <c r="C145" s="67" t="s">
        <v>1198</v>
      </c>
      <c r="D145" s="69">
        <v>40</v>
      </c>
      <c r="E145" s="123" t="s">
        <v>314</v>
      </c>
      <c r="F145" s="123"/>
      <c r="G145" s="76">
        <f t="shared" si="39"/>
        <v>10</v>
      </c>
      <c r="H145" s="76">
        <f t="shared" si="40"/>
        <v>10</v>
      </c>
      <c r="I145" s="76">
        <f t="shared" si="41"/>
        <v>10</v>
      </c>
      <c r="J145" s="76">
        <f t="shared" si="42"/>
        <v>10</v>
      </c>
      <c r="K145" s="233">
        <v>2594592</v>
      </c>
      <c r="L145" s="234">
        <f t="shared" si="34"/>
        <v>103783680</v>
      </c>
      <c r="M145" s="234">
        <f t="shared" si="35"/>
        <v>25945920</v>
      </c>
      <c r="N145" s="234">
        <f t="shared" si="36"/>
        <v>25945920</v>
      </c>
      <c r="O145" s="234">
        <f t="shared" si="37"/>
        <v>25945920</v>
      </c>
      <c r="P145" s="923">
        <f t="shared" si="38"/>
        <v>25945920</v>
      </c>
      <c r="Q145" s="905" t="s">
        <v>4227</v>
      </c>
      <c r="R145" s="872"/>
      <c r="S145" s="872"/>
      <c r="T145" s="486">
        <f t="shared" si="33"/>
        <v>40</v>
      </c>
      <c r="U145" s="993"/>
    </row>
    <row r="146" spans="1:21" ht="31.5">
      <c r="A146" s="453">
        <v>142</v>
      </c>
      <c r="B146" s="123" t="s">
        <v>1199</v>
      </c>
      <c r="C146" s="67" t="s">
        <v>1198</v>
      </c>
      <c r="D146" s="69">
        <v>40</v>
      </c>
      <c r="E146" s="123" t="s">
        <v>314</v>
      </c>
      <c r="F146" s="123"/>
      <c r="G146" s="76">
        <f t="shared" si="39"/>
        <v>10</v>
      </c>
      <c r="H146" s="76">
        <f t="shared" si="40"/>
        <v>10</v>
      </c>
      <c r="I146" s="76">
        <f t="shared" si="41"/>
        <v>10</v>
      </c>
      <c r="J146" s="76">
        <f t="shared" si="42"/>
        <v>10</v>
      </c>
      <c r="K146" s="233">
        <v>2882880</v>
      </c>
      <c r="L146" s="234">
        <f t="shared" si="34"/>
        <v>115315200</v>
      </c>
      <c r="M146" s="234">
        <f t="shared" si="35"/>
        <v>28828800</v>
      </c>
      <c r="N146" s="234">
        <f t="shared" si="36"/>
        <v>28828800</v>
      </c>
      <c r="O146" s="234">
        <f t="shared" si="37"/>
        <v>28828800</v>
      </c>
      <c r="P146" s="923">
        <f t="shared" si="38"/>
        <v>28828800</v>
      </c>
      <c r="Q146" s="905" t="s">
        <v>4227</v>
      </c>
      <c r="R146" s="872" t="s">
        <v>4873</v>
      </c>
      <c r="S146" s="872">
        <v>10</v>
      </c>
      <c r="T146" s="486">
        <f t="shared" si="33"/>
        <v>30</v>
      </c>
      <c r="U146" s="993">
        <v>25480000</v>
      </c>
    </row>
    <row r="147" spans="1:21" ht="28.5">
      <c r="A147" s="453">
        <v>143</v>
      </c>
      <c r="B147" s="123" t="s">
        <v>1200</v>
      </c>
      <c r="C147" s="67" t="s">
        <v>1198</v>
      </c>
      <c r="D147" s="69">
        <v>40</v>
      </c>
      <c r="E147" s="123" t="s">
        <v>314</v>
      </c>
      <c r="F147" s="123"/>
      <c r="G147" s="76">
        <f t="shared" si="39"/>
        <v>10</v>
      </c>
      <c r="H147" s="76">
        <f t="shared" si="40"/>
        <v>10</v>
      </c>
      <c r="I147" s="76">
        <f t="shared" si="41"/>
        <v>10</v>
      </c>
      <c r="J147" s="76">
        <f t="shared" si="42"/>
        <v>10</v>
      </c>
      <c r="K147" s="233">
        <v>2464000</v>
      </c>
      <c r="L147" s="234">
        <f t="shared" si="34"/>
        <v>98560000</v>
      </c>
      <c r="M147" s="234">
        <f t="shared" si="35"/>
        <v>24640000</v>
      </c>
      <c r="N147" s="234">
        <f t="shared" si="36"/>
        <v>24640000</v>
      </c>
      <c r="O147" s="234">
        <f t="shared" si="37"/>
        <v>24640000</v>
      </c>
      <c r="P147" s="923">
        <f t="shared" si="38"/>
        <v>24640000</v>
      </c>
      <c r="Q147" s="905" t="s">
        <v>4227</v>
      </c>
      <c r="R147" s="872" t="s">
        <v>4746</v>
      </c>
      <c r="S147" s="872">
        <v>6</v>
      </c>
      <c r="T147" s="486">
        <f t="shared" si="33"/>
        <v>34</v>
      </c>
      <c r="U147" s="993">
        <v>15320165.199999999</v>
      </c>
    </row>
    <row r="148" spans="1:21" ht="15.75">
      <c r="A148" s="453">
        <v>144</v>
      </c>
      <c r="B148" s="123" t="s">
        <v>1201</v>
      </c>
      <c r="C148" s="67" t="s">
        <v>1198</v>
      </c>
      <c r="D148" s="69">
        <v>30</v>
      </c>
      <c r="E148" s="123" t="s">
        <v>314</v>
      </c>
      <c r="F148" s="123"/>
      <c r="G148" s="76">
        <f t="shared" si="39"/>
        <v>7.5</v>
      </c>
      <c r="H148" s="76">
        <f t="shared" si="40"/>
        <v>7.5</v>
      </c>
      <c r="I148" s="76">
        <f t="shared" si="41"/>
        <v>7.5</v>
      </c>
      <c r="J148" s="76">
        <f t="shared" si="42"/>
        <v>7.5</v>
      </c>
      <c r="K148" s="233">
        <v>3610622.4</v>
      </c>
      <c r="L148" s="234">
        <f t="shared" si="34"/>
        <v>108318672</v>
      </c>
      <c r="M148" s="234">
        <f t="shared" si="35"/>
        <v>27079668</v>
      </c>
      <c r="N148" s="234">
        <f t="shared" si="36"/>
        <v>27079668</v>
      </c>
      <c r="O148" s="234">
        <f t="shared" si="37"/>
        <v>27079668</v>
      </c>
      <c r="P148" s="923">
        <f t="shared" si="38"/>
        <v>27079668</v>
      </c>
      <c r="Q148" s="905" t="s">
        <v>4227</v>
      </c>
      <c r="R148" s="872"/>
      <c r="S148" s="872"/>
      <c r="T148" s="486">
        <f t="shared" si="33"/>
        <v>30</v>
      </c>
      <c r="U148" s="993"/>
    </row>
    <row r="149" spans="1:21" ht="15.75">
      <c r="A149" s="453">
        <v>145</v>
      </c>
      <c r="B149" s="123" t="s">
        <v>1202</v>
      </c>
      <c r="C149" s="67" t="s">
        <v>1203</v>
      </c>
      <c r="D149" s="69">
        <v>40</v>
      </c>
      <c r="E149" s="123" t="s">
        <v>314</v>
      </c>
      <c r="F149" s="123"/>
      <c r="G149" s="76">
        <f t="shared" si="39"/>
        <v>10</v>
      </c>
      <c r="H149" s="76">
        <f t="shared" si="40"/>
        <v>10</v>
      </c>
      <c r="I149" s="76">
        <f t="shared" si="41"/>
        <v>10</v>
      </c>
      <c r="J149" s="76">
        <f t="shared" si="42"/>
        <v>10</v>
      </c>
      <c r="K149" s="233">
        <v>7355255.5999999996</v>
      </c>
      <c r="L149" s="234">
        <f t="shared" si="34"/>
        <v>294210224</v>
      </c>
      <c r="M149" s="234">
        <f t="shared" si="35"/>
        <v>73552556</v>
      </c>
      <c r="N149" s="234">
        <f t="shared" si="36"/>
        <v>73552556</v>
      </c>
      <c r="O149" s="234">
        <f t="shared" si="37"/>
        <v>73552556</v>
      </c>
      <c r="P149" s="923">
        <f t="shared" si="38"/>
        <v>73552556</v>
      </c>
      <c r="Q149" s="905" t="s">
        <v>4227</v>
      </c>
      <c r="R149" s="872"/>
      <c r="S149" s="872"/>
      <c r="T149" s="486">
        <f t="shared" si="33"/>
        <v>40</v>
      </c>
      <c r="U149" s="993"/>
    </row>
    <row r="150" spans="1:21" ht="15.75">
      <c r="A150" s="453">
        <v>146</v>
      </c>
      <c r="B150" s="123" t="s">
        <v>1204</v>
      </c>
      <c r="C150" s="67" t="s">
        <v>1198</v>
      </c>
      <c r="D150" s="69">
        <v>25</v>
      </c>
      <c r="E150" s="123" t="s">
        <v>314</v>
      </c>
      <c r="F150" s="123"/>
      <c r="G150" s="76">
        <f t="shared" si="39"/>
        <v>6.25</v>
      </c>
      <c r="H150" s="76">
        <f t="shared" si="40"/>
        <v>6.25</v>
      </c>
      <c r="I150" s="76">
        <f t="shared" si="41"/>
        <v>6.25</v>
      </c>
      <c r="J150" s="76">
        <f t="shared" si="42"/>
        <v>6.25</v>
      </c>
      <c r="K150" s="233">
        <v>2392544</v>
      </c>
      <c r="L150" s="234">
        <f t="shared" si="34"/>
        <v>59813600</v>
      </c>
      <c r="M150" s="234">
        <f t="shared" si="35"/>
        <v>14953400</v>
      </c>
      <c r="N150" s="234">
        <f t="shared" si="36"/>
        <v>14953400</v>
      </c>
      <c r="O150" s="234">
        <f t="shared" si="37"/>
        <v>14953400</v>
      </c>
      <c r="P150" s="923">
        <f t="shared" si="38"/>
        <v>14953400</v>
      </c>
      <c r="Q150" s="905" t="s">
        <v>4227</v>
      </c>
      <c r="R150" s="872"/>
      <c r="S150" s="872"/>
      <c r="T150" s="486">
        <f t="shared" si="33"/>
        <v>25</v>
      </c>
      <c r="U150" s="993"/>
    </row>
    <row r="151" spans="1:21" ht="15.75">
      <c r="A151" s="453">
        <v>147</v>
      </c>
      <c r="B151" s="123" t="s">
        <v>1205</v>
      </c>
      <c r="C151" s="67" t="s">
        <v>1198</v>
      </c>
      <c r="D151" s="69">
        <v>60</v>
      </c>
      <c r="E151" s="123" t="s">
        <v>286</v>
      </c>
      <c r="F151" s="123"/>
      <c r="G151" s="76">
        <f t="shared" si="39"/>
        <v>15</v>
      </c>
      <c r="H151" s="76">
        <f t="shared" si="40"/>
        <v>15</v>
      </c>
      <c r="I151" s="76">
        <f t="shared" si="41"/>
        <v>15</v>
      </c>
      <c r="J151" s="76">
        <f t="shared" si="42"/>
        <v>15</v>
      </c>
      <c r="K151" s="234">
        <v>7800000</v>
      </c>
      <c r="L151" s="234">
        <f t="shared" si="34"/>
        <v>468000000</v>
      </c>
      <c r="M151" s="234">
        <f t="shared" si="35"/>
        <v>117000000</v>
      </c>
      <c r="N151" s="234">
        <f t="shared" si="36"/>
        <v>117000000</v>
      </c>
      <c r="O151" s="234">
        <f t="shared" si="37"/>
        <v>117000000</v>
      </c>
      <c r="P151" s="923">
        <f t="shared" si="38"/>
        <v>117000000</v>
      </c>
      <c r="Q151" s="905" t="s">
        <v>4227</v>
      </c>
      <c r="R151" s="872"/>
      <c r="S151" s="872"/>
      <c r="T151" s="486">
        <f t="shared" si="33"/>
        <v>60</v>
      </c>
      <c r="U151" s="993"/>
    </row>
    <row r="152" spans="1:21" ht="15.75">
      <c r="A152" s="453">
        <v>148</v>
      </c>
      <c r="B152" s="123" t="s">
        <v>1206</v>
      </c>
      <c r="C152" s="67" t="s">
        <v>1207</v>
      </c>
      <c r="D152" s="69">
        <v>76</v>
      </c>
      <c r="E152" s="123" t="s">
        <v>1215</v>
      </c>
      <c r="F152" s="123"/>
      <c r="G152" s="76">
        <f t="shared" si="39"/>
        <v>19</v>
      </c>
      <c r="H152" s="76">
        <f t="shared" si="40"/>
        <v>19</v>
      </c>
      <c r="I152" s="76">
        <f t="shared" si="41"/>
        <v>19</v>
      </c>
      <c r="J152" s="76">
        <f t="shared" si="42"/>
        <v>19</v>
      </c>
      <c r="K152" s="233">
        <v>1695232</v>
      </c>
      <c r="L152" s="234">
        <f t="shared" si="34"/>
        <v>128837632</v>
      </c>
      <c r="M152" s="234">
        <f t="shared" si="35"/>
        <v>32209408</v>
      </c>
      <c r="N152" s="234">
        <f t="shared" si="36"/>
        <v>32209408</v>
      </c>
      <c r="O152" s="234">
        <f t="shared" si="37"/>
        <v>32209408</v>
      </c>
      <c r="P152" s="923">
        <f t="shared" si="38"/>
        <v>32209408</v>
      </c>
      <c r="Q152" s="905" t="s">
        <v>4227</v>
      </c>
      <c r="R152" s="872"/>
      <c r="S152" s="872"/>
      <c r="T152" s="486">
        <f t="shared" si="33"/>
        <v>76</v>
      </c>
      <c r="U152" s="993"/>
    </row>
    <row r="153" spans="1:21" ht="15.75">
      <c r="A153" s="453">
        <v>149</v>
      </c>
      <c r="B153" s="123" t="s">
        <v>1208</v>
      </c>
      <c r="C153" s="67" t="s">
        <v>1207</v>
      </c>
      <c r="D153" s="69">
        <v>96</v>
      </c>
      <c r="E153" s="123" t="s">
        <v>1215</v>
      </c>
      <c r="F153" s="123"/>
      <c r="G153" s="76">
        <f t="shared" si="39"/>
        <v>24</v>
      </c>
      <c r="H153" s="76">
        <f t="shared" si="40"/>
        <v>24</v>
      </c>
      <c r="I153" s="76">
        <f t="shared" si="41"/>
        <v>24</v>
      </c>
      <c r="J153" s="76">
        <f t="shared" si="42"/>
        <v>24</v>
      </c>
      <c r="K153" s="233">
        <v>666142.4</v>
      </c>
      <c r="L153" s="234">
        <f t="shared" si="34"/>
        <v>63949670.400000006</v>
      </c>
      <c r="M153" s="234">
        <f t="shared" si="35"/>
        <v>15987417.600000001</v>
      </c>
      <c r="N153" s="234">
        <f t="shared" si="36"/>
        <v>15987417.600000001</v>
      </c>
      <c r="O153" s="234">
        <f t="shared" si="37"/>
        <v>15987417.600000001</v>
      </c>
      <c r="P153" s="923">
        <f t="shared" si="38"/>
        <v>15987417.600000001</v>
      </c>
      <c r="Q153" s="905" t="s">
        <v>4227</v>
      </c>
      <c r="R153" s="872"/>
      <c r="S153" s="872"/>
      <c r="T153" s="486">
        <f t="shared" si="33"/>
        <v>96</v>
      </c>
      <c r="U153" s="993"/>
    </row>
    <row r="154" spans="1:21" ht="31.5">
      <c r="A154" s="453">
        <v>150</v>
      </c>
      <c r="B154" s="123" t="s">
        <v>1209</v>
      </c>
      <c r="C154" s="123" t="s">
        <v>1207</v>
      </c>
      <c r="D154" s="69">
        <v>150</v>
      </c>
      <c r="E154" s="123" t="s">
        <v>1215</v>
      </c>
      <c r="F154" s="123"/>
      <c r="G154" s="76">
        <f t="shared" si="39"/>
        <v>37.5</v>
      </c>
      <c r="H154" s="76">
        <f t="shared" si="40"/>
        <v>37.5</v>
      </c>
      <c r="I154" s="76">
        <f t="shared" si="41"/>
        <v>37.5</v>
      </c>
      <c r="J154" s="76">
        <f t="shared" si="42"/>
        <v>37.5</v>
      </c>
      <c r="K154" s="233">
        <v>2812656</v>
      </c>
      <c r="L154" s="234">
        <f t="shared" si="34"/>
        <v>421898400</v>
      </c>
      <c r="M154" s="234">
        <f t="shared" si="35"/>
        <v>105474600</v>
      </c>
      <c r="N154" s="234">
        <f t="shared" si="36"/>
        <v>105474600</v>
      </c>
      <c r="O154" s="234">
        <f t="shared" si="37"/>
        <v>105474600</v>
      </c>
      <c r="P154" s="923">
        <f t="shared" si="38"/>
        <v>105474600</v>
      </c>
      <c r="Q154" s="905" t="s">
        <v>4227</v>
      </c>
      <c r="R154" s="872"/>
      <c r="S154" s="872"/>
      <c r="T154" s="486">
        <f t="shared" si="33"/>
        <v>150</v>
      </c>
      <c r="U154" s="993"/>
    </row>
    <row r="155" spans="1:21" ht="31.5">
      <c r="A155" s="453">
        <v>151</v>
      </c>
      <c r="B155" s="123" t="s">
        <v>1210</v>
      </c>
      <c r="C155" s="123" t="s">
        <v>1207</v>
      </c>
      <c r="D155" s="69">
        <v>150</v>
      </c>
      <c r="E155" s="123" t="s">
        <v>1215</v>
      </c>
      <c r="F155" s="123"/>
      <c r="G155" s="76">
        <f t="shared" si="39"/>
        <v>37.5</v>
      </c>
      <c r="H155" s="76">
        <f t="shared" si="40"/>
        <v>37.5</v>
      </c>
      <c r="I155" s="76">
        <f t="shared" si="41"/>
        <v>37.5</v>
      </c>
      <c r="J155" s="76">
        <f t="shared" si="42"/>
        <v>37.5</v>
      </c>
      <c r="K155" s="233">
        <v>2661120</v>
      </c>
      <c r="L155" s="234">
        <f t="shared" si="34"/>
        <v>399168000</v>
      </c>
      <c r="M155" s="234">
        <f t="shared" si="35"/>
        <v>99792000</v>
      </c>
      <c r="N155" s="234">
        <f t="shared" si="36"/>
        <v>99792000</v>
      </c>
      <c r="O155" s="234">
        <f t="shared" si="37"/>
        <v>99792000</v>
      </c>
      <c r="P155" s="923">
        <f t="shared" si="38"/>
        <v>99792000</v>
      </c>
      <c r="Q155" s="905" t="s">
        <v>4227</v>
      </c>
      <c r="R155" s="872"/>
      <c r="S155" s="872"/>
      <c r="T155" s="486">
        <f t="shared" si="33"/>
        <v>150</v>
      </c>
      <c r="U155" s="993"/>
    </row>
    <row r="156" spans="1:21" ht="15.75">
      <c r="A156" s="453">
        <v>152</v>
      </c>
      <c r="B156" s="123" t="s">
        <v>1211</v>
      </c>
      <c r="C156" s="123" t="s">
        <v>1207</v>
      </c>
      <c r="D156" s="69">
        <v>150</v>
      </c>
      <c r="E156" s="123" t="s">
        <v>1215</v>
      </c>
      <c r="F156" s="123"/>
      <c r="G156" s="76">
        <f t="shared" si="39"/>
        <v>37.5</v>
      </c>
      <c r="H156" s="76">
        <f t="shared" si="40"/>
        <v>37.5</v>
      </c>
      <c r="I156" s="76">
        <f t="shared" si="41"/>
        <v>37.5</v>
      </c>
      <c r="J156" s="76">
        <f t="shared" si="42"/>
        <v>37.5</v>
      </c>
      <c r="K156" s="233">
        <v>1695232</v>
      </c>
      <c r="L156" s="234">
        <f t="shared" si="34"/>
        <v>254284800</v>
      </c>
      <c r="M156" s="234">
        <f t="shared" si="35"/>
        <v>63571200</v>
      </c>
      <c r="N156" s="234">
        <f t="shared" si="36"/>
        <v>63571200</v>
      </c>
      <c r="O156" s="234">
        <f t="shared" si="37"/>
        <v>63571200</v>
      </c>
      <c r="P156" s="923">
        <f t="shared" si="38"/>
        <v>63571200</v>
      </c>
      <c r="Q156" s="905" t="s">
        <v>4227</v>
      </c>
      <c r="R156" s="872"/>
      <c r="S156" s="872"/>
      <c r="T156" s="486">
        <f t="shared" si="33"/>
        <v>150</v>
      </c>
      <c r="U156" s="993"/>
    </row>
    <row r="157" spans="1:21" ht="15.75">
      <c r="A157" s="453">
        <v>153</v>
      </c>
      <c r="B157" s="123" t="s">
        <v>1212</v>
      </c>
      <c r="C157" s="123"/>
      <c r="D157" s="69">
        <v>400</v>
      </c>
      <c r="E157" s="69" t="s">
        <v>1216</v>
      </c>
      <c r="F157" s="69"/>
      <c r="G157" s="76"/>
      <c r="H157" s="76">
        <v>200</v>
      </c>
      <c r="I157" s="76"/>
      <c r="J157" s="76">
        <v>200</v>
      </c>
      <c r="K157" s="233">
        <v>41764.800000000003</v>
      </c>
      <c r="L157" s="234">
        <f t="shared" si="34"/>
        <v>16705920.000000002</v>
      </c>
      <c r="M157" s="234">
        <f t="shared" si="35"/>
        <v>0</v>
      </c>
      <c r="N157" s="234">
        <f t="shared" si="36"/>
        <v>8352960.0000000009</v>
      </c>
      <c r="O157" s="234">
        <f t="shared" si="37"/>
        <v>0</v>
      </c>
      <c r="P157" s="923">
        <f t="shared" si="38"/>
        <v>8352960.0000000009</v>
      </c>
      <c r="Q157" s="905" t="s">
        <v>4227</v>
      </c>
      <c r="R157" s="872"/>
      <c r="S157" s="872"/>
      <c r="T157" s="486">
        <f t="shared" si="33"/>
        <v>400</v>
      </c>
      <c r="U157" s="993"/>
    </row>
    <row r="158" spans="1:21" ht="28.5">
      <c r="A158" s="453">
        <v>154</v>
      </c>
      <c r="B158" s="123" t="s">
        <v>1213</v>
      </c>
      <c r="C158" s="123"/>
      <c r="D158" s="69">
        <v>30</v>
      </c>
      <c r="E158" s="123" t="s">
        <v>126</v>
      </c>
      <c r="F158" s="123"/>
      <c r="G158" s="76">
        <f>D158/4</f>
        <v>7.5</v>
      </c>
      <c r="H158" s="76">
        <f>D158/4</f>
        <v>7.5</v>
      </c>
      <c r="I158" s="76">
        <f>D158/4</f>
        <v>7.5</v>
      </c>
      <c r="J158" s="76">
        <f>D158/4</f>
        <v>7.5</v>
      </c>
      <c r="K158" s="234">
        <v>6580000</v>
      </c>
      <c r="L158" s="234">
        <f t="shared" si="34"/>
        <v>197400000</v>
      </c>
      <c r="M158" s="234">
        <f t="shared" si="35"/>
        <v>49350000</v>
      </c>
      <c r="N158" s="234">
        <f t="shared" si="36"/>
        <v>49350000</v>
      </c>
      <c r="O158" s="234">
        <f t="shared" si="37"/>
        <v>49350000</v>
      </c>
      <c r="P158" s="923">
        <f t="shared" si="38"/>
        <v>49350000</v>
      </c>
      <c r="Q158" s="905" t="s">
        <v>4227</v>
      </c>
      <c r="R158" s="872" t="s">
        <v>4874</v>
      </c>
      <c r="S158" s="872">
        <v>2</v>
      </c>
      <c r="T158" s="486">
        <f t="shared" si="33"/>
        <v>28</v>
      </c>
      <c r="U158" s="993">
        <v>3360000</v>
      </c>
    </row>
    <row r="159" spans="1:21" ht="31.5">
      <c r="A159" s="453">
        <v>155</v>
      </c>
      <c r="B159" s="123" t="s">
        <v>1214</v>
      </c>
      <c r="C159" s="123"/>
      <c r="D159" s="69">
        <v>150</v>
      </c>
      <c r="E159" s="123" t="s">
        <v>1217</v>
      </c>
      <c r="F159" s="123"/>
      <c r="G159" s="76">
        <f>D159/4</f>
        <v>37.5</v>
      </c>
      <c r="H159" s="76">
        <f>D159/4</f>
        <v>37.5</v>
      </c>
      <c r="I159" s="76">
        <f>D159/4</f>
        <v>37.5</v>
      </c>
      <c r="J159" s="76">
        <f>D159/4</f>
        <v>37.5</v>
      </c>
      <c r="K159" s="233">
        <v>3159833.6</v>
      </c>
      <c r="L159" s="234">
        <f t="shared" si="34"/>
        <v>473975040</v>
      </c>
      <c r="M159" s="234">
        <f t="shared" si="35"/>
        <v>118493760</v>
      </c>
      <c r="N159" s="234">
        <f t="shared" si="36"/>
        <v>118493760</v>
      </c>
      <c r="O159" s="234">
        <f t="shared" si="37"/>
        <v>118493760</v>
      </c>
      <c r="P159" s="923">
        <f t="shared" si="38"/>
        <v>118493760</v>
      </c>
      <c r="Q159" s="905" t="s">
        <v>4227</v>
      </c>
      <c r="R159" s="872"/>
      <c r="S159" s="872"/>
      <c r="T159" s="486">
        <f t="shared" si="33"/>
        <v>150</v>
      </c>
      <c r="U159" s="993"/>
    </row>
    <row r="160" spans="1:21" ht="15.75" customHeight="1">
      <c r="A160" s="1178" t="s">
        <v>2172</v>
      </c>
      <c r="B160" s="1178"/>
      <c r="C160" s="1178"/>
      <c r="D160" s="1178"/>
      <c r="E160" s="1178"/>
      <c r="F160" s="1178"/>
      <c r="G160" s="1178"/>
      <c r="H160" s="1178"/>
      <c r="I160" s="1178"/>
      <c r="J160" s="1178"/>
      <c r="K160" s="233"/>
      <c r="L160" s="245">
        <f>SUM(L161:L176)</f>
        <v>1524375000</v>
      </c>
      <c r="M160" s="245">
        <f>SUM(M161:M176)</f>
        <v>776165000</v>
      </c>
      <c r="N160" s="245">
        <f>SUM(N161:N176)</f>
        <v>691510000</v>
      </c>
      <c r="O160" s="245">
        <f>SUM(O161:O176)</f>
        <v>56700000</v>
      </c>
      <c r="P160" s="924">
        <f>SUM(P161:P176)</f>
        <v>0</v>
      </c>
      <c r="Q160" s="464"/>
      <c r="R160" s="872"/>
      <c r="S160" s="872"/>
      <c r="T160" s="486">
        <f t="shared" si="33"/>
        <v>0</v>
      </c>
      <c r="U160" s="993"/>
    </row>
    <row r="161" spans="1:21" s="45" customFormat="1" ht="39.75" customHeight="1">
      <c r="A161" s="67">
        <v>156</v>
      </c>
      <c r="B161" s="67" t="s">
        <v>2256</v>
      </c>
      <c r="C161" s="67" t="s">
        <v>2257</v>
      </c>
      <c r="D161" s="65">
        <v>5</v>
      </c>
      <c r="E161" s="65" t="s">
        <v>286</v>
      </c>
      <c r="F161" s="67" t="s">
        <v>2258</v>
      </c>
      <c r="G161" s="65">
        <v>5</v>
      </c>
      <c r="H161" s="65"/>
      <c r="I161" s="65"/>
      <c r="J161" s="65"/>
      <c r="K161" s="233">
        <v>16890000</v>
      </c>
      <c r="L161" s="234">
        <f>K161*D161</f>
        <v>84450000</v>
      </c>
      <c r="M161" s="234">
        <f>K161*G161</f>
        <v>84450000</v>
      </c>
      <c r="N161" s="234">
        <f>K161*H161</f>
        <v>0</v>
      </c>
      <c r="O161" s="234">
        <f>K161*I161</f>
        <v>0</v>
      </c>
      <c r="P161" s="923">
        <f>K161*J161</f>
        <v>0</v>
      </c>
      <c r="Q161" s="925" t="s">
        <v>4236</v>
      </c>
      <c r="R161" s="992"/>
      <c r="S161" s="992"/>
      <c r="T161" s="486">
        <f t="shared" si="33"/>
        <v>5</v>
      </c>
      <c r="U161" s="994"/>
    </row>
    <row r="162" spans="1:21" ht="15.75">
      <c r="A162" s="65">
        <v>157</v>
      </c>
      <c r="B162" s="123" t="s">
        <v>599</v>
      </c>
      <c r="C162" s="65" t="s">
        <v>2173</v>
      </c>
      <c r="D162" s="65">
        <v>100</v>
      </c>
      <c r="E162" s="65" t="s">
        <v>286</v>
      </c>
      <c r="F162" s="65" t="s">
        <v>2174</v>
      </c>
      <c r="G162" s="65">
        <v>50</v>
      </c>
      <c r="H162" s="65">
        <v>50</v>
      </c>
      <c r="I162" s="65"/>
      <c r="J162" s="65"/>
      <c r="K162" s="233">
        <v>695000</v>
      </c>
      <c r="L162" s="234">
        <f t="shared" ref="L162:L176" si="43">K162*D162</f>
        <v>69500000</v>
      </c>
      <c r="M162" s="234">
        <f>K162*G162</f>
        <v>34750000</v>
      </c>
      <c r="N162" s="234">
        <f t="shared" ref="N162:N176" si="44">K162*H162</f>
        <v>34750000</v>
      </c>
      <c r="O162" s="234">
        <f t="shared" ref="O162:O176" si="45">K162*I162</f>
        <v>0</v>
      </c>
      <c r="P162" s="923">
        <f t="shared" ref="P162:P176" si="46">K162*J162</f>
        <v>0</v>
      </c>
      <c r="Q162" s="925" t="s">
        <v>4236</v>
      </c>
      <c r="R162" s="872"/>
      <c r="S162" s="872"/>
      <c r="T162" s="486">
        <f t="shared" si="33"/>
        <v>100</v>
      </c>
      <c r="U162" s="993"/>
    </row>
    <row r="163" spans="1:21" ht="31.5">
      <c r="A163" s="453">
        <v>158</v>
      </c>
      <c r="B163" s="67" t="s">
        <v>601</v>
      </c>
      <c r="C163" s="123" t="s">
        <v>602</v>
      </c>
      <c r="D163" s="65">
        <v>10</v>
      </c>
      <c r="E163" s="65" t="s">
        <v>286</v>
      </c>
      <c r="F163" s="65" t="s">
        <v>2175</v>
      </c>
      <c r="G163" s="65">
        <v>5</v>
      </c>
      <c r="H163" s="65">
        <v>5</v>
      </c>
      <c r="I163" s="65"/>
      <c r="J163" s="65"/>
      <c r="K163" s="233">
        <v>17365000</v>
      </c>
      <c r="L163" s="234">
        <f t="shared" si="43"/>
        <v>173650000</v>
      </c>
      <c r="M163" s="234">
        <f>K163*G163</f>
        <v>86825000</v>
      </c>
      <c r="N163" s="234">
        <f t="shared" si="44"/>
        <v>86825000</v>
      </c>
      <c r="O163" s="234">
        <f t="shared" si="45"/>
        <v>0</v>
      </c>
      <c r="P163" s="923">
        <f t="shared" si="46"/>
        <v>0</v>
      </c>
      <c r="Q163" s="925" t="s">
        <v>4236</v>
      </c>
      <c r="R163" s="872"/>
      <c r="S163" s="872"/>
      <c r="T163" s="486">
        <f t="shared" si="33"/>
        <v>10</v>
      </c>
      <c r="U163" s="993"/>
    </row>
    <row r="164" spans="1:21" ht="31.5">
      <c r="A164" s="452">
        <v>159</v>
      </c>
      <c r="B164" s="123" t="s">
        <v>2176</v>
      </c>
      <c r="C164" s="65" t="s">
        <v>2177</v>
      </c>
      <c r="D164" s="65">
        <v>10</v>
      </c>
      <c r="E164" s="65" t="s">
        <v>286</v>
      </c>
      <c r="F164" s="65" t="s">
        <v>2178</v>
      </c>
      <c r="G164" s="65">
        <v>5</v>
      </c>
      <c r="H164" s="65">
        <v>5</v>
      </c>
      <c r="I164" s="65"/>
      <c r="J164" s="65"/>
      <c r="K164" s="233">
        <v>10000000</v>
      </c>
      <c r="L164" s="234">
        <f t="shared" si="43"/>
        <v>100000000</v>
      </c>
      <c r="M164" s="234">
        <f t="shared" ref="M164:M176" si="47">K164*G164</f>
        <v>50000000</v>
      </c>
      <c r="N164" s="234">
        <f t="shared" si="44"/>
        <v>50000000</v>
      </c>
      <c r="O164" s="234">
        <f t="shared" si="45"/>
        <v>0</v>
      </c>
      <c r="P164" s="923">
        <f t="shared" si="46"/>
        <v>0</v>
      </c>
      <c r="Q164" s="925" t="s">
        <v>4236</v>
      </c>
      <c r="R164" s="872"/>
      <c r="S164" s="872"/>
      <c r="T164" s="486">
        <f t="shared" si="33"/>
        <v>10</v>
      </c>
      <c r="U164" s="993"/>
    </row>
    <row r="165" spans="1:21" ht="47.25">
      <c r="A165" s="453">
        <v>160</v>
      </c>
      <c r="B165" s="67" t="s">
        <v>603</v>
      </c>
      <c r="C165" s="67" t="s">
        <v>2179</v>
      </c>
      <c r="D165" s="65">
        <v>1000</v>
      </c>
      <c r="E165" s="65" t="s">
        <v>286</v>
      </c>
      <c r="F165" s="65"/>
      <c r="G165" s="65">
        <v>500</v>
      </c>
      <c r="H165" s="65">
        <v>500</v>
      </c>
      <c r="I165" s="65"/>
      <c r="J165" s="65"/>
      <c r="K165" s="233">
        <v>780000</v>
      </c>
      <c r="L165" s="234">
        <f t="shared" si="43"/>
        <v>780000000</v>
      </c>
      <c r="M165" s="234">
        <f t="shared" si="47"/>
        <v>390000000</v>
      </c>
      <c r="N165" s="234">
        <f t="shared" si="44"/>
        <v>390000000</v>
      </c>
      <c r="O165" s="234">
        <f t="shared" si="45"/>
        <v>0</v>
      </c>
      <c r="P165" s="923">
        <f t="shared" si="46"/>
        <v>0</v>
      </c>
      <c r="Q165" s="925" t="s">
        <v>4236</v>
      </c>
      <c r="R165" s="872"/>
      <c r="S165" s="872"/>
      <c r="T165" s="486">
        <f t="shared" si="33"/>
        <v>1000</v>
      </c>
      <c r="U165" s="993"/>
    </row>
    <row r="166" spans="1:21" ht="15.75">
      <c r="A166" s="452">
        <v>161</v>
      </c>
      <c r="B166" s="65" t="s">
        <v>604</v>
      </c>
      <c r="C166" s="65"/>
      <c r="D166" s="65">
        <v>300</v>
      </c>
      <c r="E166" s="65" t="s">
        <v>286</v>
      </c>
      <c r="F166" s="65" t="s">
        <v>2175</v>
      </c>
      <c r="G166" s="65">
        <v>200</v>
      </c>
      <c r="H166" s="65">
        <v>100</v>
      </c>
      <c r="I166" s="65"/>
      <c r="J166" s="65"/>
      <c r="K166" s="233">
        <v>45000</v>
      </c>
      <c r="L166" s="234">
        <f t="shared" si="43"/>
        <v>13500000</v>
      </c>
      <c r="M166" s="234">
        <f t="shared" si="47"/>
        <v>9000000</v>
      </c>
      <c r="N166" s="234">
        <f t="shared" si="44"/>
        <v>4500000</v>
      </c>
      <c r="O166" s="234">
        <f t="shared" si="45"/>
        <v>0</v>
      </c>
      <c r="P166" s="923">
        <f t="shared" si="46"/>
        <v>0</v>
      </c>
      <c r="Q166" s="925" t="s">
        <v>4236</v>
      </c>
      <c r="R166" s="872"/>
      <c r="S166" s="872"/>
      <c r="T166" s="486">
        <f t="shared" si="33"/>
        <v>300</v>
      </c>
      <c r="U166" s="993"/>
    </row>
    <row r="167" spans="1:21" ht="15.75">
      <c r="A167" s="453">
        <v>162</v>
      </c>
      <c r="B167" s="65" t="s">
        <v>605</v>
      </c>
      <c r="C167" s="65"/>
      <c r="D167" s="65">
        <v>10</v>
      </c>
      <c r="E167" s="65" t="s">
        <v>286</v>
      </c>
      <c r="F167" s="65" t="s">
        <v>2180</v>
      </c>
      <c r="G167" s="65">
        <v>10</v>
      </c>
      <c r="H167" s="65"/>
      <c r="I167" s="65"/>
      <c r="J167" s="65"/>
      <c r="K167" s="233">
        <v>256500</v>
      </c>
      <c r="L167" s="234">
        <f t="shared" si="43"/>
        <v>2565000</v>
      </c>
      <c r="M167" s="234">
        <f t="shared" si="47"/>
        <v>2565000</v>
      </c>
      <c r="N167" s="234">
        <f t="shared" si="44"/>
        <v>0</v>
      </c>
      <c r="O167" s="234">
        <f t="shared" si="45"/>
        <v>0</v>
      </c>
      <c r="P167" s="923">
        <f t="shared" si="46"/>
        <v>0</v>
      </c>
      <c r="Q167" s="925" t="s">
        <v>4236</v>
      </c>
      <c r="R167" s="872"/>
      <c r="S167" s="872"/>
      <c r="T167" s="486">
        <f t="shared" si="33"/>
        <v>10</v>
      </c>
      <c r="U167" s="993"/>
    </row>
    <row r="168" spans="1:21" ht="15.75">
      <c r="A168" s="452">
        <v>163</v>
      </c>
      <c r="B168" s="65" t="s">
        <v>2181</v>
      </c>
      <c r="C168" s="65"/>
      <c r="D168" s="65">
        <v>30</v>
      </c>
      <c r="E168" s="65" t="s">
        <v>286</v>
      </c>
      <c r="F168" s="65" t="s">
        <v>2180</v>
      </c>
      <c r="G168" s="65">
        <v>20</v>
      </c>
      <c r="H168" s="65">
        <v>10</v>
      </c>
      <c r="I168" s="65"/>
      <c r="J168" s="65"/>
      <c r="K168" s="233">
        <v>389000</v>
      </c>
      <c r="L168" s="234">
        <f t="shared" si="43"/>
        <v>11670000</v>
      </c>
      <c r="M168" s="234">
        <f t="shared" si="47"/>
        <v>7780000</v>
      </c>
      <c r="N168" s="234">
        <f t="shared" si="44"/>
        <v>3890000</v>
      </c>
      <c r="O168" s="234">
        <f t="shared" si="45"/>
        <v>0</v>
      </c>
      <c r="P168" s="923">
        <f t="shared" si="46"/>
        <v>0</v>
      </c>
      <c r="Q168" s="925" t="s">
        <v>4236</v>
      </c>
      <c r="R168" s="872"/>
      <c r="S168" s="872"/>
      <c r="T168" s="486">
        <f t="shared" si="33"/>
        <v>30</v>
      </c>
      <c r="U168" s="993"/>
    </row>
    <row r="169" spans="1:21" ht="15.75">
      <c r="A169" s="453">
        <v>164</v>
      </c>
      <c r="B169" s="106" t="s">
        <v>674</v>
      </c>
      <c r="C169" s="65"/>
      <c r="D169" s="65">
        <v>10</v>
      </c>
      <c r="E169" s="65" t="s">
        <v>286</v>
      </c>
      <c r="F169" s="65" t="s">
        <v>2182</v>
      </c>
      <c r="G169" s="65">
        <v>5</v>
      </c>
      <c r="H169" s="65">
        <v>5</v>
      </c>
      <c r="I169" s="65"/>
      <c r="J169" s="65"/>
      <c r="K169" s="233">
        <v>1680000</v>
      </c>
      <c r="L169" s="234">
        <f t="shared" si="43"/>
        <v>16800000</v>
      </c>
      <c r="M169" s="234">
        <f t="shared" si="47"/>
        <v>8400000</v>
      </c>
      <c r="N169" s="234">
        <f t="shared" si="44"/>
        <v>8400000</v>
      </c>
      <c r="O169" s="234">
        <f t="shared" si="45"/>
        <v>0</v>
      </c>
      <c r="P169" s="923">
        <f t="shared" si="46"/>
        <v>0</v>
      </c>
      <c r="Q169" s="925" t="s">
        <v>4236</v>
      </c>
      <c r="R169" s="872"/>
      <c r="S169" s="872"/>
      <c r="T169" s="486">
        <f t="shared" si="33"/>
        <v>10</v>
      </c>
      <c r="U169" s="993"/>
    </row>
    <row r="170" spans="1:21" ht="94.5">
      <c r="A170" s="452">
        <v>165</v>
      </c>
      <c r="B170" s="65" t="s">
        <v>675</v>
      </c>
      <c r="C170" s="67" t="s">
        <v>2183</v>
      </c>
      <c r="D170" s="65">
        <v>50</v>
      </c>
      <c r="E170" s="65" t="s">
        <v>286</v>
      </c>
      <c r="F170" s="67" t="s">
        <v>2184</v>
      </c>
      <c r="G170" s="8">
        <v>50</v>
      </c>
      <c r="H170" s="123"/>
      <c r="I170" s="123"/>
      <c r="J170" s="123"/>
      <c r="K170" s="233">
        <v>350000</v>
      </c>
      <c r="L170" s="234">
        <f t="shared" si="43"/>
        <v>17500000</v>
      </c>
      <c r="M170" s="234">
        <f t="shared" si="47"/>
        <v>17500000</v>
      </c>
      <c r="N170" s="234">
        <f t="shared" si="44"/>
        <v>0</v>
      </c>
      <c r="O170" s="234">
        <f t="shared" si="45"/>
        <v>0</v>
      </c>
      <c r="P170" s="923">
        <f t="shared" si="46"/>
        <v>0</v>
      </c>
      <c r="Q170" s="925" t="s">
        <v>4236</v>
      </c>
      <c r="R170" s="872"/>
      <c r="S170" s="872"/>
      <c r="T170" s="486">
        <f t="shared" si="33"/>
        <v>50</v>
      </c>
      <c r="U170" s="993"/>
    </row>
    <row r="171" spans="1:21" ht="47.25">
      <c r="A171" s="453">
        <v>166</v>
      </c>
      <c r="B171" s="65" t="s">
        <v>2185</v>
      </c>
      <c r="C171" s="67" t="s">
        <v>676</v>
      </c>
      <c r="D171" s="65">
        <v>50</v>
      </c>
      <c r="E171" s="65" t="s">
        <v>286</v>
      </c>
      <c r="F171" s="67" t="s">
        <v>2186</v>
      </c>
      <c r="G171" s="65">
        <v>25</v>
      </c>
      <c r="H171" s="65">
        <v>25</v>
      </c>
      <c r="I171" s="65"/>
      <c r="J171" s="65"/>
      <c r="K171" s="233">
        <v>780000</v>
      </c>
      <c r="L171" s="234">
        <f t="shared" si="43"/>
        <v>39000000</v>
      </c>
      <c r="M171" s="234">
        <f t="shared" si="47"/>
        <v>19500000</v>
      </c>
      <c r="N171" s="234">
        <f t="shared" si="44"/>
        <v>19500000</v>
      </c>
      <c r="O171" s="234">
        <f t="shared" si="45"/>
        <v>0</v>
      </c>
      <c r="P171" s="923">
        <f t="shared" si="46"/>
        <v>0</v>
      </c>
      <c r="Q171" s="925" t="s">
        <v>4236</v>
      </c>
      <c r="R171" s="872"/>
      <c r="S171" s="872"/>
      <c r="T171" s="486">
        <f t="shared" si="33"/>
        <v>50</v>
      </c>
      <c r="U171" s="993"/>
    </row>
    <row r="172" spans="1:21" ht="15.75">
      <c r="A172" s="452">
        <v>167</v>
      </c>
      <c r="B172" s="65" t="s">
        <v>2187</v>
      </c>
      <c r="C172" s="67" t="s">
        <v>2188</v>
      </c>
      <c r="D172" s="65">
        <v>100</v>
      </c>
      <c r="E172" s="65" t="s">
        <v>286</v>
      </c>
      <c r="F172" s="65"/>
      <c r="G172" s="65"/>
      <c r="H172" s="65">
        <v>50</v>
      </c>
      <c r="I172" s="65">
        <v>50</v>
      </c>
      <c r="J172" s="65"/>
      <c r="K172" s="233">
        <v>865000</v>
      </c>
      <c r="L172" s="234">
        <f t="shared" si="43"/>
        <v>86500000</v>
      </c>
      <c r="M172" s="234">
        <f t="shared" si="47"/>
        <v>0</v>
      </c>
      <c r="N172" s="234">
        <f t="shared" si="44"/>
        <v>43250000</v>
      </c>
      <c r="O172" s="234">
        <f t="shared" si="45"/>
        <v>43250000</v>
      </c>
      <c r="P172" s="923">
        <f t="shared" si="46"/>
        <v>0</v>
      </c>
      <c r="Q172" s="925" t="s">
        <v>4236</v>
      </c>
      <c r="R172" s="872"/>
      <c r="S172" s="872"/>
      <c r="T172" s="486">
        <f t="shared" si="33"/>
        <v>100</v>
      </c>
      <c r="U172" s="993"/>
    </row>
    <row r="173" spans="1:21" ht="31.5">
      <c r="A173" s="453">
        <v>168</v>
      </c>
      <c r="B173" s="107" t="s">
        <v>2189</v>
      </c>
      <c r="C173" s="67" t="s">
        <v>2190</v>
      </c>
      <c r="D173" s="65">
        <v>100</v>
      </c>
      <c r="E173" s="65" t="s">
        <v>286</v>
      </c>
      <c r="F173" s="65"/>
      <c r="G173" s="65"/>
      <c r="H173" s="65">
        <v>50</v>
      </c>
      <c r="I173" s="65">
        <v>50</v>
      </c>
      <c r="J173" s="65"/>
      <c r="K173" s="233">
        <v>269000</v>
      </c>
      <c r="L173" s="234">
        <f t="shared" si="43"/>
        <v>26900000</v>
      </c>
      <c r="M173" s="234">
        <f t="shared" si="47"/>
        <v>0</v>
      </c>
      <c r="N173" s="234">
        <f t="shared" si="44"/>
        <v>13450000</v>
      </c>
      <c r="O173" s="234">
        <f t="shared" si="45"/>
        <v>13450000</v>
      </c>
      <c r="P173" s="923">
        <f t="shared" si="46"/>
        <v>0</v>
      </c>
      <c r="Q173" s="925" t="s">
        <v>4236</v>
      </c>
      <c r="R173" s="872"/>
      <c r="S173" s="872"/>
      <c r="T173" s="486">
        <f t="shared" si="33"/>
        <v>100</v>
      </c>
      <c r="U173" s="993"/>
    </row>
    <row r="174" spans="1:21" ht="157.5">
      <c r="A174" s="452">
        <v>169</v>
      </c>
      <c r="B174" s="123" t="s">
        <v>2191</v>
      </c>
      <c r="C174" s="67" t="s">
        <v>677</v>
      </c>
      <c r="D174" s="65">
        <v>50</v>
      </c>
      <c r="E174" s="65" t="s">
        <v>286</v>
      </c>
      <c r="F174" s="65"/>
      <c r="G174" s="8">
        <v>50</v>
      </c>
      <c r="H174" s="123"/>
      <c r="I174" s="123"/>
      <c r="J174" s="123"/>
      <c r="K174" s="233">
        <v>569000</v>
      </c>
      <c r="L174" s="234">
        <f t="shared" si="43"/>
        <v>28450000</v>
      </c>
      <c r="M174" s="234">
        <f t="shared" si="47"/>
        <v>28450000</v>
      </c>
      <c r="N174" s="234">
        <f t="shared" si="44"/>
        <v>0</v>
      </c>
      <c r="O174" s="234">
        <f t="shared" si="45"/>
        <v>0</v>
      </c>
      <c r="P174" s="923">
        <f t="shared" si="46"/>
        <v>0</v>
      </c>
      <c r="Q174" s="925" t="s">
        <v>4236</v>
      </c>
      <c r="R174" s="872"/>
      <c r="S174" s="872"/>
      <c r="T174" s="486">
        <f t="shared" si="33"/>
        <v>50</v>
      </c>
      <c r="U174" s="993"/>
    </row>
    <row r="175" spans="1:21" ht="31.5">
      <c r="A175" s="453">
        <v>170</v>
      </c>
      <c r="B175" s="64" t="s">
        <v>2192</v>
      </c>
      <c r="C175" s="67" t="s">
        <v>689</v>
      </c>
      <c r="D175" s="65">
        <v>100</v>
      </c>
      <c r="E175" s="65" t="s">
        <v>286</v>
      </c>
      <c r="F175" s="65"/>
      <c r="G175" s="65">
        <v>50</v>
      </c>
      <c r="H175" s="65">
        <v>50</v>
      </c>
      <c r="I175" s="65"/>
      <c r="J175" s="65"/>
      <c r="K175" s="233">
        <v>88900</v>
      </c>
      <c r="L175" s="234">
        <f t="shared" si="43"/>
        <v>8890000</v>
      </c>
      <c r="M175" s="234">
        <f t="shared" si="47"/>
        <v>4445000</v>
      </c>
      <c r="N175" s="234">
        <f t="shared" si="44"/>
        <v>4445000</v>
      </c>
      <c r="O175" s="234">
        <f t="shared" si="45"/>
        <v>0</v>
      </c>
      <c r="P175" s="923">
        <f t="shared" si="46"/>
        <v>0</v>
      </c>
      <c r="Q175" s="925" t="s">
        <v>4236</v>
      </c>
      <c r="R175" s="872"/>
      <c r="S175" s="872"/>
      <c r="T175" s="486">
        <f t="shared" si="33"/>
        <v>100</v>
      </c>
      <c r="U175" s="993"/>
    </row>
    <row r="176" spans="1:21" ht="31.5">
      <c r="A176" s="452">
        <v>171</v>
      </c>
      <c r="B176" s="67" t="s">
        <v>2193</v>
      </c>
      <c r="C176" s="67" t="s">
        <v>2194</v>
      </c>
      <c r="D176" s="65">
        <v>100</v>
      </c>
      <c r="E176" s="65" t="s">
        <v>286</v>
      </c>
      <c r="F176" s="65"/>
      <c r="G176" s="65">
        <v>50</v>
      </c>
      <c r="H176" s="65">
        <v>50</v>
      </c>
      <c r="I176" s="65"/>
      <c r="J176" s="65"/>
      <c r="K176" s="233">
        <v>650000</v>
      </c>
      <c r="L176" s="234">
        <f t="shared" si="43"/>
        <v>65000000</v>
      </c>
      <c r="M176" s="234">
        <f t="shared" si="47"/>
        <v>32500000</v>
      </c>
      <c r="N176" s="234">
        <f t="shared" si="44"/>
        <v>32500000</v>
      </c>
      <c r="O176" s="234">
        <f t="shared" si="45"/>
        <v>0</v>
      </c>
      <c r="P176" s="923">
        <f t="shared" si="46"/>
        <v>0</v>
      </c>
      <c r="Q176" s="925" t="s">
        <v>4236</v>
      </c>
      <c r="R176" s="872"/>
      <c r="S176" s="872"/>
      <c r="T176" s="486">
        <f t="shared" si="33"/>
        <v>100</v>
      </c>
      <c r="U176" s="993"/>
    </row>
    <row r="177" spans="1:21" ht="18.75">
      <c r="A177" s="1179" t="s">
        <v>2195</v>
      </c>
      <c r="B177" s="1179"/>
      <c r="C177" s="1179"/>
      <c r="D177" s="1179"/>
      <c r="E177" s="1179"/>
      <c r="F177" s="1179"/>
      <c r="G177" s="1179"/>
      <c r="H177" s="1179"/>
      <c r="I177" s="1179"/>
      <c r="J177" s="1179"/>
      <c r="K177" s="245"/>
      <c r="L177" s="245">
        <f>SUM(L178:L181)</f>
        <v>24112470000</v>
      </c>
      <c r="M177" s="245">
        <f>SUM(M178:M181)</f>
        <v>0</v>
      </c>
      <c r="N177" s="245">
        <f>SUM(N178:N181)</f>
        <v>24112470000</v>
      </c>
      <c r="O177" s="245">
        <f>SUM(O178:O181)</f>
        <v>0</v>
      </c>
      <c r="P177" s="924">
        <f>SUM(P178:P181)</f>
        <v>0</v>
      </c>
      <c r="Q177" s="464"/>
      <c r="R177" s="872"/>
      <c r="S177" s="872"/>
      <c r="T177" s="486">
        <f t="shared" si="33"/>
        <v>0</v>
      </c>
      <c r="U177" s="993"/>
    </row>
    <row r="178" spans="1:21" ht="31.5">
      <c r="A178" s="65">
        <v>172</v>
      </c>
      <c r="B178" s="123" t="s">
        <v>606</v>
      </c>
      <c r="C178" s="123"/>
      <c r="D178" s="64">
        <v>200</v>
      </c>
      <c r="E178" s="64" t="s">
        <v>27</v>
      </c>
      <c r="F178" s="65"/>
      <c r="G178" s="8"/>
      <c r="H178" s="123">
        <v>200</v>
      </c>
      <c r="I178" s="123"/>
      <c r="J178" s="123"/>
      <c r="K178" s="234">
        <v>31900000</v>
      </c>
      <c r="L178" s="234">
        <f>K178*D178</f>
        <v>6380000000</v>
      </c>
      <c r="M178" s="234">
        <f>G178</f>
        <v>0</v>
      </c>
      <c r="N178" s="234">
        <f>K178*H178</f>
        <v>6380000000</v>
      </c>
      <c r="O178" s="234">
        <f>K178*I178</f>
        <v>0</v>
      </c>
      <c r="P178" s="923">
        <f>K178*J178</f>
        <v>0</v>
      </c>
      <c r="Q178" s="925" t="s">
        <v>4236</v>
      </c>
      <c r="R178" s="872"/>
      <c r="S178" s="872"/>
      <c r="T178" s="486">
        <f t="shared" si="33"/>
        <v>200</v>
      </c>
      <c r="U178" s="993"/>
    </row>
    <row r="179" spans="1:21" ht="15.75">
      <c r="A179" s="65">
        <v>173</v>
      </c>
      <c r="B179" s="123" t="s">
        <v>607</v>
      </c>
      <c r="C179" s="123"/>
      <c r="D179" s="64">
        <v>200</v>
      </c>
      <c r="E179" s="64" t="s">
        <v>27</v>
      </c>
      <c r="F179" s="65"/>
      <c r="G179" s="8"/>
      <c r="H179" s="123">
        <v>200</v>
      </c>
      <c r="I179" s="123"/>
      <c r="J179" s="123"/>
      <c r="K179" s="234">
        <v>41472200</v>
      </c>
      <c r="L179" s="234">
        <f>K179*D179</f>
        <v>8294440000</v>
      </c>
      <c r="M179" s="234">
        <f>G179</f>
        <v>0</v>
      </c>
      <c r="N179" s="234">
        <f>K179*H179</f>
        <v>8294440000</v>
      </c>
      <c r="O179" s="234">
        <f>K179*I179</f>
        <v>0</v>
      </c>
      <c r="P179" s="923">
        <f>K179*J179</f>
        <v>0</v>
      </c>
      <c r="Q179" s="925" t="s">
        <v>4236</v>
      </c>
      <c r="R179" s="872"/>
      <c r="S179" s="872"/>
      <c r="T179" s="486">
        <f t="shared" si="33"/>
        <v>200</v>
      </c>
      <c r="U179" s="993"/>
    </row>
    <row r="180" spans="1:21" ht="31.5">
      <c r="A180" s="452">
        <v>174</v>
      </c>
      <c r="B180" s="123" t="s">
        <v>608</v>
      </c>
      <c r="C180" s="123"/>
      <c r="D180" s="64">
        <v>180</v>
      </c>
      <c r="E180" s="64" t="s">
        <v>27</v>
      </c>
      <c r="F180" s="65"/>
      <c r="G180" s="8"/>
      <c r="H180" s="123">
        <v>180</v>
      </c>
      <c r="I180" s="123"/>
      <c r="J180" s="123"/>
      <c r="K180" s="234">
        <v>31900000</v>
      </c>
      <c r="L180" s="234">
        <f>K180*D180</f>
        <v>5742000000</v>
      </c>
      <c r="M180" s="234">
        <f>G180</f>
        <v>0</v>
      </c>
      <c r="N180" s="234">
        <f>K180*H180</f>
        <v>5742000000</v>
      </c>
      <c r="O180" s="234">
        <f>K180*I180</f>
        <v>0</v>
      </c>
      <c r="P180" s="923">
        <f>K180*J180</f>
        <v>0</v>
      </c>
      <c r="Q180" s="925" t="s">
        <v>4236</v>
      </c>
      <c r="R180" s="872"/>
      <c r="S180" s="872"/>
      <c r="T180" s="486">
        <f t="shared" si="33"/>
        <v>180</v>
      </c>
      <c r="U180" s="993"/>
    </row>
    <row r="181" spans="1:21" ht="15.75">
      <c r="A181" s="452">
        <v>175</v>
      </c>
      <c r="B181" s="123" t="s">
        <v>3064</v>
      </c>
      <c r="C181" s="123"/>
      <c r="D181" s="64">
        <v>650</v>
      </c>
      <c r="E181" s="64" t="s">
        <v>27</v>
      </c>
      <c r="F181" s="65"/>
      <c r="G181" s="8"/>
      <c r="H181" s="123">
        <v>650</v>
      </c>
      <c r="I181" s="123"/>
      <c r="J181" s="123"/>
      <c r="K181" s="234">
        <v>5686200</v>
      </c>
      <c r="L181" s="234">
        <f>K181*D181</f>
        <v>3696030000</v>
      </c>
      <c r="M181" s="234">
        <f>G181</f>
        <v>0</v>
      </c>
      <c r="N181" s="234">
        <f>K181*H181</f>
        <v>3696030000</v>
      </c>
      <c r="O181" s="234">
        <f>K181*I181</f>
        <v>0</v>
      </c>
      <c r="P181" s="923">
        <f>K181*J181</f>
        <v>0</v>
      </c>
      <c r="Q181" s="464"/>
      <c r="R181" s="872"/>
      <c r="S181" s="872"/>
      <c r="T181" s="486">
        <f t="shared" si="33"/>
        <v>650</v>
      </c>
      <c r="U181" s="993"/>
    </row>
    <row r="182" spans="1:21" ht="18.75">
      <c r="A182" s="1177" t="s">
        <v>2243</v>
      </c>
      <c r="B182" s="1177"/>
      <c r="C182" s="1177"/>
      <c r="D182" s="1177"/>
      <c r="E182" s="1177"/>
      <c r="F182" s="1177"/>
      <c r="G182" s="1177"/>
      <c r="H182" s="1177"/>
      <c r="I182" s="1177"/>
      <c r="J182" s="1177"/>
      <c r="K182" s="234"/>
      <c r="L182" s="234">
        <f>K182*D182</f>
        <v>0</v>
      </c>
      <c r="M182" s="234">
        <f>G182</f>
        <v>0</v>
      </c>
      <c r="N182" s="234">
        <f>K182*H182</f>
        <v>0</v>
      </c>
      <c r="O182" s="234">
        <f>K182*I182</f>
        <v>0</v>
      </c>
      <c r="P182" s="923">
        <f>K182*J182</f>
        <v>0</v>
      </c>
      <c r="Q182" s="464"/>
      <c r="R182" s="872"/>
      <c r="S182" s="872"/>
      <c r="T182" s="486">
        <f t="shared" si="33"/>
        <v>0</v>
      </c>
      <c r="U182" s="993"/>
    </row>
    <row r="183" spans="1:21" ht="31.5">
      <c r="A183" s="236">
        <v>176</v>
      </c>
      <c r="B183" s="239" t="s">
        <v>2244</v>
      </c>
      <c r="C183" s="230" t="s">
        <v>2245</v>
      </c>
      <c r="D183" s="240">
        <v>5</v>
      </c>
      <c r="E183" s="230" t="s">
        <v>286</v>
      </c>
      <c r="F183" s="236" t="s">
        <v>2216</v>
      </c>
      <c r="G183" s="65"/>
      <c r="H183" s="65"/>
      <c r="I183" s="65"/>
      <c r="J183" s="65"/>
      <c r="K183" s="234"/>
      <c r="L183" s="234">
        <f t="shared" ref="L183:L188" si="48">K183*D183</f>
        <v>0</v>
      </c>
      <c r="M183" s="234">
        <f t="shared" ref="M183:M188" si="49">G183</f>
        <v>0</v>
      </c>
      <c r="N183" s="234">
        <f t="shared" ref="N183:N188" si="50">K183*H183</f>
        <v>0</v>
      </c>
      <c r="O183" s="234">
        <f t="shared" ref="O183:O188" si="51">K183*I183</f>
        <v>0</v>
      </c>
      <c r="P183" s="923">
        <f t="shared" ref="P183:P188" si="52">K183*J183</f>
        <v>0</v>
      </c>
      <c r="Q183" s="657" t="s">
        <v>4235</v>
      </c>
      <c r="R183" s="872"/>
      <c r="S183" s="872"/>
      <c r="T183" s="486">
        <f t="shared" si="33"/>
        <v>5</v>
      </c>
      <c r="U183" s="993"/>
    </row>
    <row r="184" spans="1:21" ht="47.25">
      <c r="A184" s="236">
        <v>177</v>
      </c>
      <c r="B184" s="239" t="s">
        <v>2246</v>
      </c>
      <c r="C184" s="230" t="s">
        <v>2247</v>
      </c>
      <c r="D184" s="240">
        <v>20</v>
      </c>
      <c r="E184" s="230" t="s">
        <v>286</v>
      </c>
      <c r="F184" s="236" t="s">
        <v>2216</v>
      </c>
      <c r="G184" s="65"/>
      <c r="H184" s="65"/>
      <c r="I184" s="65"/>
      <c r="J184" s="65"/>
      <c r="K184" s="234"/>
      <c r="L184" s="234">
        <f t="shared" si="48"/>
        <v>0</v>
      </c>
      <c r="M184" s="234">
        <f t="shared" si="49"/>
        <v>0</v>
      </c>
      <c r="N184" s="234">
        <f t="shared" si="50"/>
        <v>0</v>
      </c>
      <c r="O184" s="234">
        <f t="shared" si="51"/>
        <v>0</v>
      </c>
      <c r="P184" s="923">
        <f t="shared" si="52"/>
        <v>0</v>
      </c>
      <c r="Q184" s="657" t="s">
        <v>4235</v>
      </c>
      <c r="R184" s="872"/>
      <c r="S184" s="872"/>
      <c r="T184" s="486">
        <f t="shared" si="33"/>
        <v>20</v>
      </c>
      <c r="U184" s="993"/>
    </row>
    <row r="185" spans="1:21" ht="31.5">
      <c r="A185" s="236">
        <v>178</v>
      </c>
      <c r="B185" s="239" t="s">
        <v>2248</v>
      </c>
      <c r="C185" s="230" t="s">
        <v>2249</v>
      </c>
      <c r="D185" s="240">
        <v>5</v>
      </c>
      <c r="E185" s="230" t="s">
        <v>286</v>
      </c>
      <c r="F185" s="238" t="s">
        <v>2250</v>
      </c>
      <c r="G185" s="65">
        <v>5</v>
      </c>
      <c r="H185" s="65"/>
      <c r="I185" s="65"/>
      <c r="J185" s="65"/>
      <c r="K185" s="234">
        <v>9950000</v>
      </c>
      <c r="L185" s="234">
        <f t="shared" si="48"/>
        <v>49750000</v>
      </c>
      <c r="M185" s="234">
        <f t="shared" si="49"/>
        <v>5</v>
      </c>
      <c r="N185" s="234">
        <f t="shared" si="50"/>
        <v>0</v>
      </c>
      <c r="O185" s="234">
        <f t="shared" si="51"/>
        <v>0</v>
      </c>
      <c r="P185" s="923">
        <f t="shared" si="52"/>
        <v>0</v>
      </c>
      <c r="Q185" s="657" t="s">
        <v>4235</v>
      </c>
      <c r="R185" s="872"/>
      <c r="S185" s="872"/>
      <c r="T185" s="486">
        <f t="shared" si="33"/>
        <v>5</v>
      </c>
      <c r="U185" s="993"/>
    </row>
    <row r="186" spans="1:21" ht="18.75">
      <c r="A186" s="1177" t="s">
        <v>2251</v>
      </c>
      <c r="B186" s="1177"/>
      <c r="C186" s="1177"/>
      <c r="D186" s="1177"/>
      <c r="E186" s="1177"/>
      <c r="F186" s="1177"/>
      <c r="G186" s="1177"/>
      <c r="H186" s="1177"/>
      <c r="I186" s="1177"/>
      <c r="J186" s="1177"/>
      <c r="K186" s="234"/>
      <c r="L186" s="234">
        <f t="shared" si="48"/>
        <v>0</v>
      </c>
      <c r="M186" s="234">
        <f t="shared" si="49"/>
        <v>0</v>
      </c>
      <c r="N186" s="234">
        <f t="shared" si="50"/>
        <v>0</v>
      </c>
      <c r="O186" s="234">
        <f t="shared" si="51"/>
        <v>0</v>
      </c>
      <c r="P186" s="923">
        <f t="shared" si="52"/>
        <v>0</v>
      </c>
      <c r="Q186" s="464"/>
      <c r="R186" s="872"/>
      <c r="S186" s="872"/>
      <c r="T186" s="486">
        <f t="shared" si="33"/>
        <v>0</v>
      </c>
      <c r="U186" s="993"/>
    </row>
    <row r="187" spans="1:21" ht="110.25">
      <c r="A187" s="236">
        <v>182</v>
      </c>
      <c r="B187" s="238" t="s">
        <v>2252</v>
      </c>
      <c r="C187" s="238" t="s">
        <v>2253</v>
      </c>
      <c r="D187" s="241">
        <v>1</v>
      </c>
      <c r="E187" s="242" t="s">
        <v>278</v>
      </c>
      <c r="F187" s="236"/>
      <c r="G187" s="237">
        <v>1</v>
      </c>
      <c r="H187" s="123"/>
      <c r="I187" s="123"/>
      <c r="J187" s="123"/>
      <c r="K187" s="234"/>
      <c r="L187" s="234">
        <f t="shared" si="48"/>
        <v>0</v>
      </c>
      <c r="M187" s="234">
        <f t="shared" si="49"/>
        <v>1</v>
      </c>
      <c r="N187" s="234">
        <f t="shared" si="50"/>
        <v>0</v>
      </c>
      <c r="O187" s="234">
        <f t="shared" si="51"/>
        <v>0</v>
      </c>
      <c r="P187" s="923">
        <f t="shared" si="52"/>
        <v>0</v>
      </c>
      <c r="Q187" s="464"/>
      <c r="R187" s="872"/>
      <c r="S187" s="872"/>
      <c r="T187" s="486">
        <f t="shared" si="33"/>
        <v>1</v>
      </c>
      <c r="U187" s="993"/>
    </row>
    <row r="188" spans="1:21" ht="267.75">
      <c r="A188" s="236">
        <v>183</v>
      </c>
      <c r="B188" s="230" t="s">
        <v>2254</v>
      </c>
      <c r="C188" s="230" t="s">
        <v>2255</v>
      </c>
      <c r="D188" s="243">
        <v>1</v>
      </c>
      <c r="E188" s="242" t="s">
        <v>278</v>
      </c>
      <c r="F188" s="236"/>
      <c r="G188" s="236">
        <v>1</v>
      </c>
      <c r="H188" s="65"/>
      <c r="I188" s="65"/>
      <c r="J188" s="65"/>
      <c r="K188" s="234"/>
      <c r="L188" s="234">
        <f t="shared" si="48"/>
        <v>0</v>
      </c>
      <c r="M188" s="234">
        <f t="shared" si="49"/>
        <v>1</v>
      </c>
      <c r="N188" s="234">
        <f t="shared" si="50"/>
        <v>0</v>
      </c>
      <c r="O188" s="234">
        <f t="shared" si="51"/>
        <v>0</v>
      </c>
      <c r="P188" s="923">
        <f t="shared" si="52"/>
        <v>0</v>
      </c>
      <c r="Q188" s="464"/>
      <c r="R188" s="872"/>
      <c r="S188" s="872"/>
      <c r="T188" s="486">
        <f t="shared" si="33"/>
        <v>1</v>
      </c>
      <c r="U188" s="993"/>
    </row>
    <row r="189" spans="1:21">
      <c r="K189" s="393" t="s">
        <v>2996</v>
      </c>
      <c r="L189" s="394">
        <f>L3+L131+L160+L177</f>
        <v>53877903178.849998</v>
      </c>
      <c r="M189" s="823">
        <f>M3+M131+M160</f>
        <v>5413149664.7124996</v>
      </c>
      <c r="N189" s="823">
        <f>N3+N131+N160+N177</f>
        <v>33922293224.712502</v>
      </c>
      <c r="O189" s="823">
        <f>O3+O131+O160+O177</f>
        <v>7128298664.7124996</v>
      </c>
      <c r="P189" s="823">
        <f>P3+P131+P160+P177</f>
        <v>7051109624.7124996</v>
      </c>
      <c r="Q189" s="464"/>
      <c r="R189" s="872"/>
      <c r="S189" s="872"/>
      <c r="T189" s="486">
        <f t="shared" si="33"/>
        <v>0</v>
      </c>
      <c r="U189" s="993"/>
    </row>
  </sheetData>
  <autoFilter ref="A1:J189" xr:uid="{00000000-0009-0000-0000-000007000000}">
    <filterColumn colId="6" showButton="0"/>
    <filterColumn colId="7" showButton="0"/>
    <filterColumn colId="8" showButton="0"/>
  </autoFilter>
  <customSheetViews>
    <customSheetView guid="{750F99BE-5C19-4848-A09A-0E4FD0F9F8FC}" scale="85" showAutoFilter="1" hiddenRows="1">
      <pane ySplit="2" topLeftCell="A3" activePane="bottomLeft" state="frozen"/>
      <selection pane="bottomLeft" activeCell="B9" sqref="B9"/>
      <pageMargins left="0.7" right="0.7" top="0.75" bottom="0.75" header="0.3" footer="0.3"/>
      <pageSetup paperSize="9" orientation="portrait" verticalDpi="0" r:id="rId1"/>
      <autoFilter ref="A1:J281" xr:uid="{73DC36D4-363B-4E28-8BC9-8CE09144898D}">
        <filterColumn colId="6" showButton="0"/>
        <filterColumn colId="7" showButton="0"/>
        <filterColumn colId="8" showButton="0"/>
      </autoFilter>
    </customSheetView>
    <customSheetView guid="{DEF9C65D-F8A0-4631-A6BF-69DD462E745F}" scale="85" showAutoFilter="1" hiddenRows="1">
      <pane ySplit="2" topLeftCell="A3" activePane="bottomLeft" state="frozen"/>
      <selection pane="bottomLeft" activeCell="B9" sqref="B9"/>
      <pageMargins left="0.7" right="0.7" top="0.75" bottom="0.75" header="0.3" footer="0.3"/>
      <pageSetup paperSize="9" orientation="portrait" verticalDpi="0" r:id="rId2"/>
      <autoFilter ref="A1:J281" xr:uid="{D7EE734D-2F15-401E-9BD5-4A7EAE4E2023}">
        <filterColumn colId="6" showButton="0"/>
        <filterColumn colId="7" showButton="0"/>
        <filterColumn colId="8" showButton="0"/>
      </autoFilter>
    </customSheetView>
    <customSheetView guid="{F53706EC-596C-4347-9C22-A701412B0A41}" scale="85" showAutoFilter="1" hiddenRows="1">
      <pane ySplit="2" topLeftCell="A120" activePane="bottomLeft" state="frozen"/>
      <selection pane="bottomLeft" activeCell="N153" sqref="N153"/>
      <pageMargins left="0.7" right="0.7" top="0.75" bottom="0.75" header="0.3" footer="0.3"/>
      <pageSetup paperSize="9" orientation="portrait" verticalDpi="0" r:id="rId3"/>
      <autoFilter ref="A1:J281" xr:uid="{8E111A4B-BB99-4BA6-9AA4-918AE19AA995}">
        <filterColumn colId="6" showButton="0"/>
        <filterColumn colId="7" showButton="0"/>
        <filterColumn colId="8" showButton="0"/>
      </autoFilter>
    </customSheetView>
    <customSheetView guid="{93AFD236-396B-4FF3-AB41-05714D8754DB}" scale="85" showAutoFilter="1" hiddenRows="1">
      <pane ySplit="2" topLeftCell="A3" activePane="bottomLeft" state="frozen"/>
      <selection pane="bottomLeft" activeCell="B9" sqref="B9"/>
      <pageMargins left="0.7" right="0.7" top="0.75" bottom="0.75" header="0.3" footer="0.3"/>
      <pageSetup paperSize="9" orientation="portrait" verticalDpi="0" r:id="rId4"/>
      <autoFilter ref="A1:J281" xr:uid="{932A2A86-F260-4F10-94D5-F1D83F5276CC}">
        <filterColumn colId="6" showButton="0"/>
        <filterColumn colId="7" showButton="0"/>
        <filterColumn colId="8" showButton="0"/>
      </autoFilter>
    </customSheetView>
  </customSheetViews>
  <mergeCells count="24">
    <mergeCell ref="F1:F2"/>
    <mergeCell ref="A186:J186"/>
    <mergeCell ref="A160:J160"/>
    <mergeCell ref="A177:J177"/>
    <mergeCell ref="A182:J182"/>
    <mergeCell ref="A131:J131"/>
    <mergeCell ref="A3:J3"/>
    <mergeCell ref="G1:J1"/>
    <mergeCell ref="A1:A2"/>
    <mergeCell ref="B1:B2"/>
    <mergeCell ref="C1:C2"/>
    <mergeCell ref="D1:D2"/>
    <mergeCell ref="E1:E2"/>
    <mergeCell ref="R1:R2"/>
    <mergeCell ref="S1:S2"/>
    <mergeCell ref="T1:T2"/>
    <mergeCell ref="U1:U2"/>
    <mergeCell ref="K1:K2"/>
    <mergeCell ref="L1:L2"/>
    <mergeCell ref="M1:M2"/>
    <mergeCell ref="N1:N2"/>
    <mergeCell ref="O1:O2"/>
    <mergeCell ref="Q1:Q2"/>
    <mergeCell ref="P1:P2"/>
  </mergeCells>
  <pageMargins left="0.7" right="0.7" top="0.75" bottom="0.75" header="0.3" footer="0.3"/>
  <pageSetup paperSize="9" orientation="portrait" verticalDpi="0"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U56"/>
  <sheetViews>
    <sheetView tabSelected="1" topLeftCell="D1" zoomScale="85" zoomScaleNormal="85" workbookViewId="0">
      <selection activeCell="K1" sqref="K1:V1048576"/>
    </sheetView>
  </sheetViews>
  <sheetFormatPr defaultColWidth="65.85546875" defaultRowHeight="15"/>
  <cols>
    <col min="1" max="1" width="4" style="19" bestFit="1" customWidth="1"/>
    <col min="2" max="2" width="50.42578125" style="19" customWidth="1"/>
    <col min="3" max="3" width="73" style="19" customWidth="1"/>
    <col min="4" max="4" width="11.7109375" style="19" customWidth="1"/>
    <col min="5" max="5" width="8.140625" style="19" customWidth="1"/>
    <col min="6" max="6" width="83.28515625" style="19" bestFit="1" customWidth="1"/>
    <col min="7" max="8" width="10.42578125" style="19" hidden="1" customWidth="1"/>
    <col min="9" max="10" width="10.42578125" style="19" bestFit="1" customWidth="1"/>
    <col min="11" max="11" width="14.28515625" style="396" hidden="1" customWidth="1"/>
    <col min="12" max="12" width="18.85546875" style="19" hidden="1" customWidth="1"/>
    <col min="13" max="13" width="15.7109375" style="19" hidden="1" customWidth="1"/>
    <col min="14" max="15" width="18.85546875" style="19" hidden="1" customWidth="1"/>
    <col min="16" max="16" width="14.140625" style="19" hidden="1" customWidth="1"/>
    <col min="17" max="17" width="23.28515625" style="19" hidden="1" customWidth="1"/>
    <col min="18" max="18" width="10.7109375" style="19" hidden="1" customWidth="1"/>
    <col min="19" max="19" width="16.5703125" style="19" hidden="1" customWidth="1"/>
    <col min="20" max="20" width="9.42578125" style="19" hidden="1" customWidth="1"/>
    <col min="21" max="21" width="14.28515625" style="19" hidden="1" customWidth="1"/>
    <col min="22" max="22" width="0" style="19" hidden="1" customWidth="1"/>
    <col min="23" max="16384" width="65.85546875" style="19"/>
  </cols>
  <sheetData>
    <row r="1" spans="1:21">
      <c r="A1" s="1184" t="s">
        <v>595</v>
      </c>
      <c r="B1" s="1185" t="s">
        <v>272</v>
      </c>
      <c r="C1" s="1185" t="s">
        <v>273</v>
      </c>
      <c r="D1" s="1185" t="s">
        <v>1</v>
      </c>
      <c r="E1" s="1183" t="s">
        <v>274</v>
      </c>
      <c r="F1" s="1186" t="s">
        <v>275</v>
      </c>
      <c r="G1" s="1183" t="s">
        <v>2</v>
      </c>
      <c r="H1" s="1183"/>
      <c r="I1" s="1183"/>
      <c r="J1" s="1183"/>
      <c r="K1" s="1181" t="s">
        <v>2881</v>
      </c>
      <c r="L1" s="1180" t="s">
        <v>2882</v>
      </c>
      <c r="M1" s="1180" t="s">
        <v>2883</v>
      </c>
      <c r="N1" s="1180" t="s">
        <v>2884</v>
      </c>
      <c r="O1" s="1180" t="s">
        <v>2885</v>
      </c>
      <c r="P1" s="1180" t="s">
        <v>2886</v>
      </c>
      <c r="Q1" s="1125" t="s">
        <v>4230</v>
      </c>
      <c r="R1" s="1119" t="s">
        <v>4700</v>
      </c>
      <c r="S1" s="1119" t="s">
        <v>4701</v>
      </c>
      <c r="T1" s="1119" t="s">
        <v>4702</v>
      </c>
      <c r="U1" s="1119" t="s">
        <v>2882</v>
      </c>
    </row>
    <row r="2" spans="1:21">
      <c r="A2" s="1184"/>
      <c r="B2" s="1185"/>
      <c r="C2" s="1185"/>
      <c r="D2" s="1185"/>
      <c r="E2" s="1183"/>
      <c r="F2" s="1186"/>
      <c r="G2" s="835" t="s">
        <v>3</v>
      </c>
      <c r="H2" s="835" t="s">
        <v>4</v>
      </c>
      <c r="I2" s="835" t="s">
        <v>5</v>
      </c>
      <c r="J2" s="835" t="s">
        <v>6</v>
      </c>
      <c r="K2" s="1181"/>
      <c r="L2" s="1180"/>
      <c r="M2" s="1180"/>
      <c r="N2" s="1180"/>
      <c r="O2" s="1180"/>
      <c r="P2" s="1180"/>
      <c r="Q2" s="1126"/>
      <c r="R2" s="1119"/>
      <c r="S2" s="1119"/>
      <c r="T2" s="1119"/>
      <c r="U2" s="1119"/>
    </row>
    <row r="3" spans="1:21" ht="18.75">
      <c r="A3" s="1147" t="s">
        <v>2071</v>
      </c>
      <c r="B3" s="1147"/>
      <c r="C3" s="1147"/>
      <c r="D3" s="1147"/>
      <c r="E3" s="1147"/>
      <c r="F3" s="1147"/>
      <c r="G3" s="1147"/>
      <c r="H3" s="1147"/>
      <c r="I3" s="1147"/>
      <c r="J3" s="1147"/>
      <c r="K3" s="189"/>
      <c r="L3" s="398">
        <f>SUM(L4:L7)</f>
        <v>77816000</v>
      </c>
      <c r="M3" s="398">
        <f>SUM(M4:M7)</f>
        <v>0</v>
      </c>
      <c r="N3" s="398">
        <f>SUM(N4:N7)</f>
        <v>54304000</v>
      </c>
      <c r="O3" s="398">
        <f>SUM(O4:O7)</f>
        <v>23512000</v>
      </c>
      <c r="P3" s="398">
        <f>SUM(P4:P7)</f>
        <v>0</v>
      </c>
      <c r="R3" s="469"/>
      <c r="S3" s="469"/>
      <c r="T3" s="469"/>
      <c r="U3" s="469"/>
    </row>
    <row r="4" spans="1:21" ht="75">
      <c r="A4" s="463">
        <v>46</v>
      </c>
      <c r="B4" s="866" t="s">
        <v>2072</v>
      </c>
      <c r="C4" s="463" t="s">
        <v>2073</v>
      </c>
      <c r="D4" s="758" t="s">
        <v>126</v>
      </c>
      <c r="E4" s="464">
        <f>G4+H4+I4+J4</f>
        <v>1</v>
      </c>
      <c r="F4" s="423" t="s">
        <v>2122</v>
      </c>
      <c r="G4" s="451">
        <v>0</v>
      </c>
      <c r="H4" s="451">
        <v>1</v>
      </c>
      <c r="I4" s="463">
        <v>0</v>
      </c>
      <c r="J4" s="759">
        <v>0</v>
      </c>
      <c r="K4" s="929">
        <v>1980000</v>
      </c>
      <c r="L4" s="930">
        <f>K4*E4</f>
        <v>1980000</v>
      </c>
      <c r="M4" s="931">
        <f>K4*G4</f>
        <v>0</v>
      </c>
      <c r="N4" s="932">
        <f>K4*H4</f>
        <v>1980000</v>
      </c>
      <c r="O4" s="933">
        <f>K4*I4</f>
        <v>0</v>
      </c>
      <c r="P4" s="934">
        <f t="shared" ref="P4:P22" si="0">K4*J4</f>
        <v>0</v>
      </c>
      <c r="Q4" s="864" t="s">
        <v>4236</v>
      </c>
      <c r="R4" s="469"/>
      <c r="S4" s="469"/>
      <c r="T4" s="469"/>
      <c r="U4" s="469"/>
    </row>
    <row r="5" spans="1:21" ht="240">
      <c r="A5" s="463">
        <v>47</v>
      </c>
      <c r="B5" s="866" t="s">
        <v>2074</v>
      </c>
      <c r="C5" s="463" t="s">
        <v>2075</v>
      </c>
      <c r="D5" s="758" t="s">
        <v>126</v>
      </c>
      <c r="E5" s="464">
        <f>G5+H5+I5+J5</f>
        <v>2</v>
      </c>
      <c r="F5" s="423" t="s">
        <v>4713</v>
      </c>
      <c r="G5" s="451">
        <v>0</v>
      </c>
      <c r="H5" s="451">
        <v>2</v>
      </c>
      <c r="I5" s="463">
        <v>0</v>
      </c>
      <c r="J5" s="759">
        <v>0</v>
      </c>
      <c r="K5" s="929">
        <v>2650000</v>
      </c>
      <c r="L5" s="930">
        <f>K5*E5</f>
        <v>5300000</v>
      </c>
      <c r="M5" s="931">
        <f>K5*G5</f>
        <v>0</v>
      </c>
      <c r="N5" s="932">
        <f>K5*H5</f>
        <v>5300000</v>
      </c>
      <c r="O5" s="933">
        <f>K5*I5</f>
        <v>0</v>
      </c>
      <c r="P5" s="934">
        <f t="shared" si="0"/>
        <v>0</v>
      </c>
      <c r="Q5" s="864" t="s">
        <v>4236</v>
      </c>
      <c r="R5" s="469"/>
      <c r="S5" s="469"/>
      <c r="T5" s="469"/>
      <c r="U5" s="469"/>
    </row>
    <row r="6" spans="1:21" ht="345">
      <c r="A6" s="463">
        <v>48</v>
      </c>
      <c r="B6" s="866" t="s">
        <v>2076</v>
      </c>
      <c r="C6" s="463" t="s">
        <v>2077</v>
      </c>
      <c r="D6" s="464" t="s">
        <v>791</v>
      </c>
      <c r="E6" s="464">
        <f>G6+H6+I6+J6</f>
        <v>6</v>
      </c>
      <c r="F6" s="423" t="s">
        <v>4714</v>
      </c>
      <c r="G6" s="451">
        <v>0</v>
      </c>
      <c r="H6" s="463">
        <v>4</v>
      </c>
      <c r="I6" s="463">
        <v>2</v>
      </c>
      <c r="J6" s="759">
        <v>0</v>
      </c>
      <c r="K6" s="929">
        <v>3256000</v>
      </c>
      <c r="L6" s="930">
        <f>K6*E6</f>
        <v>19536000</v>
      </c>
      <c r="M6" s="931">
        <f>K6*G6</f>
        <v>0</v>
      </c>
      <c r="N6" s="932">
        <f>K6*H6</f>
        <v>13024000</v>
      </c>
      <c r="O6" s="933">
        <f>K6*I6</f>
        <v>6512000</v>
      </c>
      <c r="P6" s="934">
        <f t="shared" si="0"/>
        <v>0</v>
      </c>
      <c r="Q6" s="864" t="s">
        <v>4236</v>
      </c>
      <c r="R6" s="469"/>
      <c r="S6" s="469"/>
      <c r="T6" s="469"/>
      <c r="U6" s="469"/>
    </row>
    <row r="7" spans="1:21" ht="409.5">
      <c r="A7" s="463">
        <v>49</v>
      </c>
      <c r="B7" s="866" t="s">
        <v>2078</v>
      </c>
      <c r="C7" s="463" t="s">
        <v>2079</v>
      </c>
      <c r="D7" s="464" t="s">
        <v>2080</v>
      </c>
      <c r="E7" s="464">
        <f>G7+H7+I7+J7</f>
        <v>6</v>
      </c>
      <c r="F7" s="423" t="s">
        <v>2125</v>
      </c>
      <c r="G7" s="451">
        <v>0</v>
      </c>
      <c r="H7" s="463">
        <v>4</v>
      </c>
      <c r="I7" s="463">
        <v>2</v>
      </c>
      <c r="J7" s="759">
        <v>0</v>
      </c>
      <c r="K7" s="929">
        <v>8500000</v>
      </c>
      <c r="L7" s="930">
        <f>K7*E7</f>
        <v>51000000</v>
      </c>
      <c r="M7" s="931">
        <f>K7*G7</f>
        <v>0</v>
      </c>
      <c r="N7" s="932">
        <f>K7*H7</f>
        <v>34000000</v>
      </c>
      <c r="O7" s="933">
        <f>K7*I7</f>
        <v>17000000</v>
      </c>
      <c r="P7" s="934">
        <f t="shared" si="0"/>
        <v>0</v>
      </c>
      <c r="Q7" s="864" t="s">
        <v>4236</v>
      </c>
      <c r="R7" s="469"/>
      <c r="S7" s="469"/>
      <c r="T7" s="469"/>
      <c r="U7" s="469"/>
    </row>
    <row r="8" spans="1:21">
      <c r="A8" s="1187" t="s">
        <v>810</v>
      </c>
      <c r="B8" s="1187"/>
      <c r="C8" s="1187"/>
      <c r="D8" s="1187"/>
      <c r="E8" s="1187"/>
      <c r="F8" s="1187"/>
      <c r="G8" s="1187"/>
      <c r="H8" s="1187"/>
      <c r="I8" s="1187"/>
      <c r="J8" s="1187"/>
      <c r="K8" s="929"/>
      <c r="L8" s="935">
        <f>SUM(L9:L41)</f>
        <v>301049000</v>
      </c>
      <c r="M8" s="935">
        <f>SUM(M9:M41)</f>
        <v>38500000</v>
      </c>
      <c r="N8" s="935">
        <f>SUM(N9:N41)</f>
        <v>248927000</v>
      </c>
      <c r="O8" s="935">
        <f>SUM(O9:O41)</f>
        <v>13622000</v>
      </c>
      <c r="P8" s="935">
        <f>SUM(P9:P28)</f>
        <v>0</v>
      </c>
      <c r="Q8" s="865"/>
      <c r="R8" s="469"/>
      <c r="S8" s="469"/>
      <c r="T8" s="469"/>
      <c r="U8" s="469"/>
    </row>
    <row r="9" spans="1:21" ht="105">
      <c r="A9" s="475">
        <v>50</v>
      </c>
      <c r="B9" s="466" t="s">
        <v>20</v>
      </c>
      <c r="C9" s="466" t="s">
        <v>4703</v>
      </c>
      <c r="D9" s="466" t="s">
        <v>2063</v>
      </c>
      <c r="E9" s="466">
        <f>G9+H9+I9+J9</f>
        <v>9</v>
      </c>
      <c r="F9" s="451" t="s">
        <v>2126</v>
      </c>
      <c r="G9" s="466">
        <v>0</v>
      </c>
      <c r="H9" s="824">
        <v>5</v>
      </c>
      <c r="I9" s="824">
        <v>4</v>
      </c>
      <c r="J9" s="867">
        <v>0</v>
      </c>
      <c r="K9" s="929">
        <v>224710</v>
      </c>
      <c r="L9" s="930">
        <f>K9*E9</f>
        <v>2022390</v>
      </c>
      <c r="M9" s="931">
        <f>K9*G9</f>
        <v>0</v>
      </c>
      <c r="N9" s="932">
        <f>K9*H9</f>
        <v>1123550</v>
      </c>
      <c r="O9" s="933">
        <f>K9*I9</f>
        <v>898840</v>
      </c>
      <c r="P9" s="934">
        <f>K9*J9</f>
        <v>0</v>
      </c>
      <c r="Q9" s="864" t="s">
        <v>4236</v>
      </c>
      <c r="R9" s="469"/>
      <c r="S9" s="469"/>
      <c r="T9" s="469"/>
      <c r="U9" s="469"/>
    </row>
    <row r="10" spans="1:21" ht="63">
      <c r="A10" s="475">
        <v>51</v>
      </c>
      <c r="B10" s="466" t="s">
        <v>792</v>
      </c>
      <c r="C10" s="466" t="s">
        <v>4704</v>
      </c>
      <c r="D10" s="466" t="s">
        <v>2063</v>
      </c>
      <c r="E10" s="466">
        <f t="shared" ref="E10:E41" si="1">G10+H10+I10+J10</f>
        <v>9</v>
      </c>
      <c r="F10" s="451" t="s">
        <v>2126</v>
      </c>
      <c r="G10" s="466">
        <v>0</v>
      </c>
      <c r="H10" s="824">
        <v>5</v>
      </c>
      <c r="I10" s="824">
        <v>4</v>
      </c>
      <c r="J10" s="867">
        <v>0</v>
      </c>
      <c r="K10" s="929">
        <v>359000</v>
      </c>
      <c r="L10" s="930">
        <f t="shared" ref="L10:L28" si="2">K10*E10</f>
        <v>3231000</v>
      </c>
      <c r="M10" s="931">
        <f t="shared" ref="M10:M28" si="3">K10*G10</f>
        <v>0</v>
      </c>
      <c r="N10" s="932">
        <f t="shared" ref="N10:N28" si="4">K10*H10</f>
        <v>1795000</v>
      </c>
      <c r="O10" s="933">
        <f t="shared" ref="O10:O28" si="5">K10*I10</f>
        <v>1436000</v>
      </c>
      <c r="P10" s="934">
        <f t="shared" si="0"/>
        <v>0</v>
      </c>
      <c r="Q10" s="864" t="s">
        <v>4236</v>
      </c>
      <c r="R10" s="469"/>
      <c r="S10" s="469"/>
      <c r="T10" s="469"/>
      <c r="U10" s="469"/>
    </row>
    <row r="11" spans="1:21" ht="75">
      <c r="A11" s="475">
        <v>52</v>
      </c>
      <c r="B11" s="466" t="s">
        <v>22</v>
      </c>
      <c r="C11" s="466" t="s">
        <v>4705</v>
      </c>
      <c r="D11" s="466" t="s">
        <v>126</v>
      </c>
      <c r="E11" s="466">
        <f t="shared" si="1"/>
        <v>9</v>
      </c>
      <c r="F11" s="451" t="s">
        <v>2126</v>
      </c>
      <c r="G11" s="466">
        <v>0</v>
      </c>
      <c r="H11" s="824">
        <v>5</v>
      </c>
      <c r="I11" s="824">
        <v>4</v>
      </c>
      <c r="J11" s="867">
        <v>0</v>
      </c>
      <c r="K11" s="929">
        <v>77290</v>
      </c>
      <c r="L11" s="930">
        <f t="shared" si="2"/>
        <v>695610</v>
      </c>
      <c r="M11" s="931">
        <f t="shared" si="3"/>
        <v>0</v>
      </c>
      <c r="N11" s="932">
        <f t="shared" si="4"/>
        <v>386450</v>
      </c>
      <c r="O11" s="933">
        <f t="shared" si="5"/>
        <v>309160</v>
      </c>
      <c r="P11" s="934">
        <f t="shared" si="0"/>
        <v>0</v>
      </c>
      <c r="Q11" s="864" t="s">
        <v>4236</v>
      </c>
      <c r="R11" s="469"/>
      <c r="S11" s="469"/>
      <c r="T11" s="469"/>
      <c r="U11" s="469"/>
    </row>
    <row r="12" spans="1:21" ht="42.75">
      <c r="A12" s="475">
        <v>53</v>
      </c>
      <c r="B12" s="866" t="s">
        <v>793</v>
      </c>
      <c r="C12" s="463" t="s">
        <v>794</v>
      </c>
      <c r="D12" s="466" t="s">
        <v>126</v>
      </c>
      <c r="E12" s="466">
        <f t="shared" si="1"/>
        <v>200</v>
      </c>
      <c r="F12" s="466" t="s">
        <v>2127</v>
      </c>
      <c r="G12" s="466">
        <v>0</v>
      </c>
      <c r="H12" s="824">
        <v>100</v>
      </c>
      <c r="I12" s="824">
        <v>100</v>
      </c>
      <c r="J12" s="867">
        <v>0</v>
      </c>
      <c r="K12" s="929">
        <v>8500</v>
      </c>
      <c r="L12" s="930">
        <f t="shared" si="2"/>
        <v>1700000</v>
      </c>
      <c r="M12" s="931">
        <f t="shared" si="3"/>
        <v>0</v>
      </c>
      <c r="N12" s="932">
        <f t="shared" si="4"/>
        <v>850000</v>
      </c>
      <c r="O12" s="933">
        <f t="shared" si="5"/>
        <v>850000</v>
      </c>
      <c r="P12" s="934">
        <f t="shared" si="0"/>
        <v>0</v>
      </c>
      <c r="Q12" s="864" t="s">
        <v>4236</v>
      </c>
      <c r="R12" s="469"/>
      <c r="S12" s="469"/>
      <c r="T12" s="469"/>
      <c r="U12" s="469"/>
    </row>
    <row r="13" spans="1:21" ht="60">
      <c r="A13" s="475">
        <v>54</v>
      </c>
      <c r="B13" s="466" t="s">
        <v>33</v>
      </c>
      <c r="C13" s="466" t="s">
        <v>4706</v>
      </c>
      <c r="D13" s="466" t="s">
        <v>126</v>
      </c>
      <c r="E13" s="466">
        <f t="shared" si="1"/>
        <v>2</v>
      </c>
      <c r="F13" s="466" t="s">
        <v>2128</v>
      </c>
      <c r="G13" s="466">
        <v>0</v>
      </c>
      <c r="H13" s="824">
        <v>2</v>
      </c>
      <c r="I13" s="824">
        <v>0</v>
      </c>
      <c r="J13" s="867">
        <v>0</v>
      </c>
      <c r="K13" s="929">
        <v>2100000</v>
      </c>
      <c r="L13" s="930">
        <f t="shared" si="2"/>
        <v>4200000</v>
      </c>
      <c r="M13" s="931">
        <f t="shared" si="3"/>
        <v>0</v>
      </c>
      <c r="N13" s="932">
        <f t="shared" si="4"/>
        <v>4200000</v>
      </c>
      <c r="O13" s="933">
        <f t="shared" si="5"/>
        <v>0</v>
      </c>
      <c r="P13" s="934">
        <f t="shared" si="0"/>
        <v>0</v>
      </c>
      <c r="Q13" s="864" t="s">
        <v>4236</v>
      </c>
      <c r="R13" s="469"/>
      <c r="S13" s="469"/>
      <c r="T13" s="469"/>
      <c r="U13" s="469"/>
    </row>
    <row r="14" spans="1:21" ht="60">
      <c r="A14" s="475">
        <v>55</v>
      </c>
      <c r="B14" s="466" t="s">
        <v>33</v>
      </c>
      <c r="C14" s="466" t="s">
        <v>4707</v>
      </c>
      <c r="D14" s="466" t="s">
        <v>126</v>
      </c>
      <c r="E14" s="466">
        <f t="shared" si="1"/>
        <v>1</v>
      </c>
      <c r="F14" s="466" t="s">
        <v>2129</v>
      </c>
      <c r="G14" s="466">
        <v>0</v>
      </c>
      <c r="H14" s="824">
        <v>1</v>
      </c>
      <c r="I14" s="824">
        <v>0</v>
      </c>
      <c r="J14" s="867">
        <v>0</v>
      </c>
      <c r="K14" s="929">
        <v>5775000</v>
      </c>
      <c r="L14" s="930">
        <f t="shared" si="2"/>
        <v>5775000</v>
      </c>
      <c r="M14" s="931">
        <f t="shared" si="3"/>
        <v>0</v>
      </c>
      <c r="N14" s="932">
        <f t="shared" si="4"/>
        <v>5775000</v>
      </c>
      <c r="O14" s="933">
        <f t="shared" si="5"/>
        <v>0</v>
      </c>
      <c r="P14" s="934">
        <f t="shared" si="0"/>
        <v>0</v>
      </c>
      <c r="Q14" s="864" t="s">
        <v>4236</v>
      </c>
      <c r="R14" s="469"/>
      <c r="S14" s="469"/>
      <c r="T14" s="469"/>
      <c r="U14" s="469"/>
    </row>
    <row r="15" spans="1:21" ht="180">
      <c r="A15" s="475">
        <v>56</v>
      </c>
      <c r="B15" s="451" t="s">
        <v>795</v>
      </c>
      <c r="C15" s="451" t="s">
        <v>796</v>
      </c>
      <c r="D15" s="466" t="s">
        <v>126</v>
      </c>
      <c r="E15" s="466">
        <f t="shared" si="1"/>
        <v>10</v>
      </c>
      <c r="F15" s="463" t="s">
        <v>2130</v>
      </c>
      <c r="G15" s="466">
        <v>0</v>
      </c>
      <c r="H15" s="824">
        <v>10</v>
      </c>
      <c r="I15" s="463">
        <v>0</v>
      </c>
      <c r="J15" s="867">
        <v>0</v>
      </c>
      <c r="K15" s="929">
        <v>110000</v>
      </c>
      <c r="L15" s="930">
        <f t="shared" si="2"/>
        <v>1100000</v>
      </c>
      <c r="M15" s="931">
        <f t="shared" si="3"/>
        <v>0</v>
      </c>
      <c r="N15" s="932">
        <f t="shared" si="4"/>
        <v>1100000</v>
      </c>
      <c r="O15" s="933">
        <f t="shared" si="5"/>
        <v>0</v>
      </c>
      <c r="P15" s="934">
        <f t="shared" si="0"/>
        <v>0</v>
      </c>
      <c r="Q15" s="864" t="s">
        <v>4236</v>
      </c>
      <c r="R15" s="469"/>
      <c r="S15" s="469"/>
      <c r="T15" s="469"/>
      <c r="U15" s="469"/>
    </row>
    <row r="16" spans="1:21" ht="45">
      <c r="A16" s="475">
        <v>57</v>
      </c>
      <c r="B16" s="466" t="s">
        <v>60</v>
      </c>
      <c r="C16" s="466" t="s">
        <v>4708</v>
      </c>
      <c r="D16" s="466" t="s">
        <v>126</v>
      </c>
      <c r="E16" s="466">
        <f t="shared" si="1"/>
        <v>3</v>
      </c>
      <c r="F16" s="466" t="s">
        <v>2131</v>
      </c>
      <c r="G16" s="466">
        <v>0</v>
      </c>
      <c r="H16" s="824">
        <v>3</v>
      </c>
      <c r="I16" s="824">
        <v>0</v>
      </c>
      <c r="J16" s="867">
        <v>0</v>
      </c>
      <c r="K16" s="929">
        <v>985000</v>
      </c>
      <c r="L16" s="930">
        <f t="shared" si="2"/>
        <v>2955000</v>
      </c>
      <c r="M16" s="931">
        <f t="shared" si="3"/>
        <v>0</v>
      </c>
      <c r="N16" s="932">
        <f t="shared" si="4"/>
        <v>2955000</v>
      </c>
      <c r="O16" s="933">
        <f t="shared" si="5"/>
        <v>0</v>
      </c>
      <c r="P16" s="934">
        <f t="shared" si="0"/>
        <v>0</v>
      </c>
      <c r="Q16" s="864" t="s">
        <v>4236</v>
      </c>
      <c r="R16" s="469"/>
      <c r="S16" s="469"/>
      <c r="T16" s="469"/>
      <c r="U16" s="469"/>
    </row>
    <row r="17" spans="1:21" ht="45">
      <c r="A17" s="475">
        <v>58</v>
      </c>
      <c r="B17" s="451" t="s">
        <v>797</v>
      </c>
      <c r="C17" s="451" t="s">
        <v>4709</v>
      </c>
      <c r="D17" s="466" t="s">
        <v>126</v>
      </c>
      <c r="E17" s="466">
        <f t="shared" si="1"/>
        <v>5</v>
      </c>
      <c r="F17" s="466" t="s">
        <v>2132</v>
      </c>
      <c r="G17" s="466">
        <v>0</v>
      </c>
      <c r="H17" s="824">
        <v>5</v>
      </c>
      <c r="I17" s="463">
        <v>0</v>
      </c>
      <c r="J17" s="867">
        <v>0</v>
      </c>
      <c r="K17" s="929">
        <v>445000</v>
      </c>
      <c r="L17" s="930">
        <f t="shared" si="2"/>
        <v>2225000</v>
      </c>
      <c r="M17" s="931">
        <f t="shared" si="3"/>
        <v>0</v>
      </c>
      <c r="N17" s="932">
        <f t="shared" si="4"/>
        <v>2225000</v>
      </c>
      <c r="O17" s="933">
        <f t="shared" si="5"/>
        <v>0</v>
      </c>
      <c r="P17" s="934">
        <f t="shared" si="0"/>
        <v>0</v>
      </c>
      <c r="Q17" s="864" t="s">
        <v>4236</v>
      </c>
      <c r="R17" s="469"/>
      <c r="S17" s="469"/>
      <c r="T17" s="469"/>
      <c r="U17" s="469"/>
    </row>
    <row r="18" spans="1:21" ht="60">
      <c r="A18" s="475">
        <v>59</v>
      </c>
      <c r="B18" s="466" t="s">
        <v>61</v>
      </c>
      <c r="C18" s="466" t="s">
        <v>4710</v>
      </c>
      <c r="D18" s="466" t="s">
        <v>126</v>
      </c>
      <c r="E18" s="466">
        <f t="shared" si="1"/>
        <v>6</v>
      </c>
      <c r="F18" s="466" t="s">
        <v>2133</v>
      </c>
      <c r="G18" s="466">
        <v>0</v>
      </c>
      <c r="H18" s="824">
        <v>6</v>
      </c>
      <c r="I18" s="824">
        <v>0</v>
      </c>
      <c r="J18" s="867">
        <v>0</v>
      </c>
      <c r="K18" s="929">
        <v>260000</v>
      </c>
      <c r="L18" s="930">
        <f t="shared" si="2"/>
        <v>1560000</v>
      </c>
      <c r="M18" s="931">
        <f t="shared" si="3"/>
        <v>0</v>
      </c>
      <c r="N18" s="932">
        <f t="shared" si="4"/>
        <v>1560000</v>
      </c>
      <c r="O18" s="933">
        <f t="shared" si="5"/>
        <v>0</v>
      </c>
      <c r="P18" s="934">
        <f t="shared" si="0"/>
        <v>0</v>
      </c>
      <c r="Q18" s="864" t="s">
        <v>4236</v>
      </c>
      <c r="R18" s="469"/>
      <c r="S18" s="469"/>
      <c r="T18" s="469"/>
      <c r="U18" s="469"/>
    </row>
    <row r="19" spans="1:21" ht="90">
      <c r="A19" s="475">
        <v>60</v>
      </c>
      <c r="B19" s="466" t="s">
        <v>798</v>
      </c>
      <c r="C19" s="868" t="s">
        <v>799</v>
      </c>
      <c r="D19" s="868" t="s">
        <v>68</v>
      </c>
      <c r="E19" s="466">
        <f t="shared" si="1"/>
        <v>250</v>
      </c>
      <c r="F19" s="466" t="s">
        <v>2134</v>
      </c>
      <c r="G19" s="466">
        <v>0</v>
      </c>
      <c r="H19" s="824">
        <v>150</v>
      </c>
      <c r="I19" s="824">
        <v>100</v>
      </c>
      <c r="J19" s="867">
        <v>0</v>
      </c>
      <c r="K19" s="929">
        <v>10500</v>
      </c>
      <c r="L19" s="930">
        <f t="shared" si="2"/>
        <v>2625000</v>
      </c>
      <c r="M19" s="931">
        <f t="shared" si="3"/>
        <v>0</v>
      </c>
      <c r="N19" s="932">
        <f t="shared" si="4"/>
        <v>1575000</v>
      </c>
      <c r="O19" s="933">
        <f t="shared" si="5"/>
        <v>1050000</v>
      </c>
      <c r="P19" s="934">
        <f t="shared" si="0"/>
        <v>0</v>
      </c>
      <c r="Q19" s="864" t="s">
        <v>4236</v>
      </c>
      <c r="R19" s="469"/>
      <c r="S19" s="469"/>
      <c r="T19" s="469"/>
      <c r="U19" s="469"/>
    </row>
    <row r="20" spans="1:21" ht="75">
      <c r="A20" s="475">
        <v>61</v>
      </c>
      <c r="B20" s="466" t="s">
        <v>800</v>
      </c>
      <c r="C20" s="868" t="s">
        <v>801</v>
      </c>
      <c r="D20" s="868" t="s">
        <v>126</v>
      </c>
      <c r="E20" s="466">
        <f t="shared" si="1"/>
        <v>1</v>
      </c>
      <c r="F20" s="466" t="s">
        <v>2135</v>
      </c>
      <c r="G20" s="466">
        <v>0</v>
      </c>
      <c r="H20" s="824">
        <v>1</v>
      </c>
      <c r="I20" s="824">
        <v>0</v>
      </c>
      <c r="J20" s="867">
        <v>0</v>
      </c>
      <c r="K20" s="929">
        <v>1700000</v>
      </c>
      <c r="L20" s="930">
        <f t="shared" si="2"/>
        <v>1700000</v>
      </c>
      <c r="M20" s="931">
        <f t="shared" si="3"/>
        <v>0</v>
      </c>
      <c r="N20" s="932">
        <f t="shared" si="4"/>
        <v>1700000</v>
      </c>
      <c r="O20" s="933">
        <f t="shared" si="5"/>
        <v>0</v>
      </c>
      <c r="P20" s="934">
        <f t="shared" si="0"/>
        <v>0</v>
      </c>
      <c r="Q20" s="864" t="s">
        <v>4236</v>
      </c>
      <c r="R20" s="469"/>
      <c r="S20" s="469"/>
      <c r="T20" s="469"/>
      <c r="U20" s="469"/>
    </row>
    <row r="21" spans="1:21" ht="90">
      <c r="A21" s="475">
        <v>62</v>
      </c>
      <c r="B21" s="466" t="s">
        <v>800</v>
      </c>
      <c r="C21" s="868" t="s">
        <v>4711</v>
      </c>
      <c r="D21" s="868" t="s">
        <v>126</v>
      </c>
      <c r="E21" s="466">
        <f t="shared" si="1"/>
        <v>5</v>
      </c>
      <c r="F21" s="466" t="s">
        <v>2136</v>
      </c>
      <c r="G21" s="466">
        <v>0</v>
      </c>
      <c r="H21" s="824">
        <v>5</v>
      </c>
      <c r="I21" s="824">
        <v>0</v>
      </c>
      <c r="J21" s="867">
        <v>0</v>
      </c>
      <c r="K21" s="929">
        <v>4000000</v>
      </c>
      <c r="L21" s="930">
        <f t="shared" si="2"/>
        <v>20000000</v>
      </c>
      <c r="M21" s="931">
        <f t="shared" si="3"/>
        <v>0</v>
      </c>
      <c r="N21" s="932">
        <f t="shared" si="4"/>
        <v>20000000</v>
      </c>
      <c r="O21" s="933">
        <f t="shared" si="5"/>
        <v>0</v>
      </c>
      <c r="P21" s="934">
        <f t="shared" si="0"/>
        <v>0</v>
      </c>
      <c r="Q21" s="864" t="s">
        <v>4236</v>
      </c>
      <c r="R21" s="469"/>
      <c r="S21" s="469"/>
      <c r="T21" s="469"/>
      <c r="U21" s="469"/>
    </row>
    <row r="22" spans="1:21" ht="75">
      <c r="A22" s="475">
        <v>63</v>
      </c>
      <c r="B22" s="866" t="s">
        <v>802</v>
      </c>
      <c r="C22" s="451" t="s">
        <v>4712</v>
      </c>
      <c r="D22" s="868" t="s">
        <v>126</v>
      </c>
      <c r="E22" s="466">
        <f t="shared" si="1"/>
        <v>2</v>
      </c>
      <c r="F22" s="869" t="s">
        <v>2137</v>
      </c>
      <c r="G22" s="466">
        <v>0</v>
      </c>
      <c r="H22" s="824">
        <v>2</v>
      </c>
      <c r="I22" s="463">
        <v>0</v>
      </c>
      <c r="J22" s="867">
        <v>0</v>
      </c>
      <c r="K22" s="929">
        <v>6624000</v>
      </c>
      <c r="L22" s="930">
        <f t="shared" si="2"/>
        <v>13248000</v>
      </c>
      <c r="M22" s="931">
        <f t="shared" si="3"/>
        <v>0</v>
      </c>
      <c r="N22" s="932">
        <f t="shared" si="4"/>
        <v>13248000</v>
      </c>
      <c r="O22" s="933">
        <f t="shared" si="5"/>
        <v>0</v>
      </c>
      <c r="P22" s="934">
        <f t="shared" si="0"/>
        <v>0</v>
      </c>
      <c r="Q22" s="864" t="s">
        <v>4236</v>
      </c>
      <c r="R22" s="469"/>
      <c r="S22" s="469"/>
      <c r="T22" s="469"/>
      <c r="U22" s="469"/>
    </row>
    <row r="23" spans="1:21" ht="120">
      <c r="A23" s="475">
        <v>64</v>
      </c>
      <c r="B23" s="870" t="s">
        <v>803</v>
      </c>
      <c r="C23" s="466" t="s">
        <v>105</v>
      </c>
      <c r="D23" s="868" t="s">
        <v>126</v>
      </c>
      <c r="E23" s="466">
        <f t="shared" si="1"/>
        <v>8</v>
      </c>
      <c r="F23" s="869" t="s">
        <v>2138</v>
      </c>
      <c r="G23" s="466">
        <v>0</v>
      </c>
      <c r="H23" s="824">
        <v>6</v>
      </c>
      <c r="I23" s="824">
        <v>2</v>
      </c>
      <c r="J23" s="867">
        <v>0</v>
      </c>
      <c r="K23" s="929">
        <v>2739000</v>
      </c>
      <c r="L23" s="930">
        <f t="shared" si="2"/>
        <v>21912000</v>
      </c>
      <c r="M23" s="931">
        <f t="shared" si="3"/>
        <v>0</v>
      </c>
      <c r="N23" s="932">
        <f t="shared" si="4"/>
        <v>16434000</v>
      </c>
      <c r="O23" s="933">
        <f t="shared" si="5"/>
        <v>5478000</v>
      </c>
      <c r="P23" s="934">
        <f t="shared" ref="P23:P48" si="6">K23*J23</f>
        <v>0</v>
      </c>
      <c r="Q23" s="864" t="s">
        <v>4236</v>
      </c>
      <c r="R23" s="469"/>
      <c r="S23" s="469"/>
      <c r="T23" s="469"/>
      <c r="U23" s="469"/>
    </row>
    <row r="24" spans="1:21" ht="165">
      <c r="A24" s="475">
        <v>65</v>
      </c>
      <c r="B24" s="451" t="s">
        <v>157</v>
      </c>
      <c r="C24" s="451" t="s">
        <v>158</v>
      </c>
      <c r="D24" s="868" t="s">
        <v>126</v>
      </c>
      <c r="E24" s="466">
        <f t="shared" si="1"/>
        <v>10</v>
      </c>
      <c r="F24" s="463" t="s">
        <v>2139</v>
      </c>
      <c r="G24" s="466">
        <v>0</v>
      </c>
      <c r="H24" s="824">
        <v>10</v>
      </c>
      <c r="I24" s="464">
        <v>0</v>
      </c>
      <c r="J24" s="867">
        <v>0</v>
      </c>
      <c r="K24" s="929">
        <v>695000</v>
      </c>
      <c r="L24" s="930">
        <f t="shared" si="2"/>
        <v>6950000</v>
      </c>
      <c r="M24" s="931">
        <f t="shared" si="3"/>
        <v>0</v>
      </c>
      <c r="N24" s="932">
        <f t="shared" si="4"/>
        <v>6950000</v>
      </c>
      <c r="O24" s="933">
        <f t="shared" si="5"/>
        <v>0</v>
      </c>
      <c r="P24" s="934">
        <f t="shared" si="6"/>
        <v>0</v>
      </c>
      <c r="Q24" s="864" t="s">
        <v>4236</v>
      </c>
      <c r="R24" s="469"/>
      <c r="S24" s="469"/>
      <c r="T24" s="469"/>
      <c r="U24" s="469"/>
    </row>
    <row r="25" spans="1:21" ht="120">
      <c r="A25" s="475">
        <v>66</v>
      </c>
      <c r="B25" s="451" t="s">
        <v>804</v>
      </c>
      <c r="C25" s="466" t="s">
        <v>805</v>
      </c>
      <c r="D25" s="451" t="s">
        <v>68</v>
      </c>
      <c r="E25" s="466">
        <f t="shared" si="1"/>
        <v>100</v>
      </c>
      <c r="F25" s="463" t="s">
        <v>2140</v>
      </c>
      <c r="G25" s="466">
        <v>0</v>
      </c>
      <c r="H25" s="824">
        <v>100</v>
      </c>
      <c r="I25" s="464">
        <v>0</v>
      </c>
      <c r="J25" s="867">
        <v>0</v>
      </c>
      <c r="K25" s="929">
        <v>20000</v>
      </c>
      <c r="L25" s="930">
        <f t="shared" si="2"/>
        <v>2000000</v>
      </c>
      <c r="M25" s="931">
        <f t="shared" si="3"/>
        <v>0</v>
      </c>
      <c r="N25" s="932">
        <f t="shared" si="4"/>
        <v>2000000</v>
      </c>
      <c r="O25" s="933">
        <f t="shared" si="5"/>
        <v>0</v>
      </c>
      <c r="P25" s="934">
        <f t="shared" si="6"/>
        <v>0</v>
      </c>
      <c r="Q25" s="864" t="s">
        <v>4236</v>
      </c>
      <c r="R25" s="469"/>
      <c r="S25" s="469"/>
      <c r="T25" s="469"/>
      <c r="U25" s="469"/>
    </row>
    <row r="26" spans="1:21" ht="75">
      <c r="A26" s="475">
        <v>67</v>
      </c>
      <c r="B26" s="451" t="s">
        <v>806</v>
      </c>
      <c r="C26" s="451" t="s">
        <v>807</v>
      </c>
      <c r="D26" s="871" t="s">
        <v>126</v>
      </c>
      <c r="E26" s="466">
        <f t="shared" si="1"/>
        <v>10</v>
      </c>
      <c r="F26" s="869" t="s">
        <v>2141</v>
      </c>
      <c r="G26" s="466">
        <v>0</v>
      </c>
      <c r="H26" s="824">
        <v>10</v>
      </c>
      <c r="I26" s="464">
        <v>0</v>
      </c>
      <c r="J26" s="867">
        <v>0</v>
      </c>
      <c r="K26" s="929">
        <v>600000</v>
      </c>
      <c r="L26" s="930">
        <f t="shared" si="2"/>
        <v>6000000</v>
      </c>
      <c r="M26" s="931">
        <f t="shared" si="3"/>
        <v>0</v>
      </c>
      <c r="N26" s="932">
        <f t="shared" si="4"/>
        <v>6000000</v>
      </c>
      <c r="O26" s="933">
        <f t="shared" si="5"/>
        <v>0</v>
      </c>
      <c r="P26" s="934">
        <f t="shared" si="6"/>
        <v>0</v>
      </c>
      <c r="Q26" s="864" t="s">
        <v>4236</v>
      </c>
      <c r="R26" s="469"/>
      <c r="S26" s="469"/>
      <c r="T26" s="469"/>
      <c r="U26" s="469"/>
    </row>
    <row r="27" spans="1:21" ht="60">
      <c r="A27" s="475">
        <v>68</v>
      </c>
      <c r="B27" s="466" t="s">
        <v>33</v>
      </c>
      <c r="C27" s="451" t="s">
        <v>2064</v>
      </c>
      <c r="D27" s="871" t="s">
        <v>126</v>
      </c>
      <c r="E27" s="466">
        <f t="shared" si="1"/>
        <v>3</v>
      </c>
      <c r="F27" s="466" t="s">
        <v>2142</v>
      </c>
      <c r="G27" s="466">
        <v>0</v>
      </c>
      <c r="H27" s="824">
        <v>3</v>
      </c>
      <c r="I27" s="464">
        <v>0</v>
      </c>
      <c r="J27" s="867">
        <v>0</v>
      </c>
      <c r="K27" s="929">
        <v>4450000</v>
      </c>
      <c r="L27" s="930">
        <f t="shared" si="2"/>
        <v>13350000</v>
      </c>
      <c r="M27" s="931">
        <f t="shared" si="3"/>
        <v>0</v>
      </c>
      <c r="N27" s="932">
        <f t="shared" si="4"/>
        <v>13350000</v>
      </c>
      <c r="O27" s="933">
        <f t="shared" si="5"/>
        <v>0</v>
      </c>
      <c r="P27" s="934">
        <f t="shared" si="6"/>
        <v>0</v>
      </c>
      <c r="Q27" s="864" t="s">
        <v>4236</v>
      </c>
      <c r="R27" s="469"/>
      <c r="S27" s="469"/>
      <c r="T27" s="469"/>
      <c r="U27" s="469"/>
    </row>
    <row r="28" spans="1:21" ht="90">
      <c r="A28" s="475">
        <v>69</v>
      </c>
      <c r="B28" s="824" t="s">
        <v>808</v>
      </c>
      <c r="C28" s="824" t="s">
        <v>809</v>
      </c>
      <c r="D28" s="871" t="s">
        <v>126</v>
      </c>
      <c r="E28" s="466">
        <f t="shared" si="1"/>
        <v>10</v>
      </c>
      <c r="F28" s="451" t="s">
        <v>2143</v>
      </c>
      <c r="G28" s="466">
        <v>0</v>
      </c>
      <c r="H28" s="824">
        <v>10</v>
      </c>
      <c r="I28" s="824">
        <v>0</v>
      </c>
      <c r="J28" s="867">
        <v>0</v>
      </c>
      <c r="K28" s="929">
        <v>215000</v>
      </c>
      <c r="L28" s="930">
        <f t="shared" si="2"/>
        <v>2150000</v>
      </c>
      <c r="M28" s="931">
        <f t="shared" si="3"/>
        <v>0</v>
      </c>
      <c r="N28" s="932">
        <f t="shared" si="4"/>
        <v>2150000</v>
      </c>
      <c r="O28" s="933">
        <f t="shared" si="5"/>
        <v>0</v>
      </c>
      <c r="P28" s="934">
        <f t="shared" si="6"/>
        <v>0</v>
      </c>
      <c r="Q28" s="864" t="s">
        <v>4236</v>
      </c>
      <c r="R28" s="469"/>
      <c r="S28" s="469"/>
      <c r="T28" s="469"/>
      <c r="U28" s="469"/>
    </row>
    <row r="29" spans="1:21" ht="195">
      <c r="A29" s="463">
        <v>70</v>
      </c>
      <c r="B29" s="463" t="s">
        <v>811</v>
      </c>
      <c r="C29" s="463" t="s">
        <v>812</v>
      </c>
      <c r="D29" s="758" t="s">
        <v>126</v>
      </c>
      <c r="E29" s="466">
        <f t="shared" si="1"/>
        <v>10</v>
      </c>
      <c r="F29" s="463" t="s">
        <v>2144</v>
      </c>
      <c r="G29" s="451">
        <v>0</v>
      </c>
      <c r="H29" s="463">
        <v>10</v>
      </c>
      <c r="I29" s="463">
        <v>0</v>
      </c>
      <c r="J29" s="759">
        <v>0</v>
      </c>
      <c r="K29" s="929">
        <v>4500000</v>
      </c>
      <c r="L29" s="930">
        <f t="shared" ref="L29:L48" si="7">K29*E29</f>
        <v>45000000</v>
      </c>
      <c r="M29" s="931">
        <f t="shared" ref="M29:M48" si="8">K29*G29</f>
        <v>0</v>
      </c>
      <c r="N29" s="932">
        <f t="shared" ref="N29:N48" si="9">K29*H29</f>
        <v>45000000</v>
      </c>
      <c r="O29" s="933">
        <f t="shared" ref="O29:O48" si="10">K29*I29</f>
        <v>0</v>
      </c>
      <c r="P29" s="934">
        <f t="shared" si="6"/>
        <v>0</v>
      </c>
      <c r="Q29" s="864" t="s">
        <v>4236</v>
      </c>
      <c r="R29" s="469"/>
      <c r="S29" s="469"/>
      <c r="T29" s="469"/>
      <c r="U29" s="469"/>
    </row>
    <row r="30" spans="1:21" ht="90">
      <c r="A30" s="463">
        <v>71</v>
      </c>
      <c r="B30" s="866" t="s">
        <v>813</v>
      </c>
      <c r="C30" s="463" t="s">
        <v>814</v>
      </c>
      <c r="D30" s="758" t="s">
        <v>126</v>
      </c>
      <c r="E30" s="466">
        <f t="shared" si="1"/>
        <v>7</v>
      </c>
      <c r="F30" s="463" t="s">
        <v>2145</v>
      </c>
      <c r="G30" s="451">
        <v>0</v>
      </c>
      <c r="H30" s="463">
        <v>7</v>
      </c>
      <c r="I30" s="463">
        <v>0</v>
      </c>
      <c r="J30" s="469"/>
      <c r="K30" s="929">
        <v>5500000</v>
      </c>
      <c r="L30" s="930">
        <f>K30*E30</f>
        <v>38500000</v>
      </c>
      <c r="M30" s="931">
        <f>K30*H30</f>
        <v>38500000</v>
      </c>
      <c r="N30" s="932">
        <f>K30*I30</f>
        <v>0</v>
      </c>
      <c r="O30" s="932">
        <f>L30*J30</f>
        <v>0</v>
      </c>
      <c r="P30" s="932">
        <f>K30*J30</f>
        <v>0</v>
      </c>
      <c r="Q30" s="864" t="s">
        <v>4236</v>
      </c>
      <c r="R30" s="469"/>
      <c r="S30" s="469"/>
      <c r="T30" s="469"/>
      <c r="U30" s="469"/>
    </row>
    <row r="31" spans="1:21" ht="90">
      <c r="A31" s="463">
        <v>72</v>
      </c>
      <c r="B31" s="866" t="s">
        <v>815</v>
      </c>
      <c r="C31" s="463" t="s">
        <v>816</v>
      </c>
      <c r="D31" s="758" t="s">
        <v>126</v>
      </c>
      <c r="E31" s="466">
        <f t="shared" si="1"/>
        <v>4</v>
      </c>
      <c r="F31" s="463" t="s">
        <v>836</v>
      </c>
      <c r="G31" s="451">
        <v>0</v>
      </c>
      <c r="H31" s="463">
        <v>4</v>
      </c>
      <c r="I31" s="463">
        <v>0</v>
      </c>
      <c r="J31" s="469"/>
      <c r="K31" s="929">
        <v>13200000</v>
      </c>
      <c r="L31" s="930">
        <f>K31*E31</f>
        <v>52800000</v>
      </c>
      <c r="M31" s="931">
        <f>K31*G31</f>
        <v>0</v>
      </c>
      <c r="N31" s="932">
        <f>K31*H31</f>
        <v>52800000</v>
      </c>
      <c r="O31" s="933">
        <f>K31*I31</f>
        <v>0</v>
      </c>
      <c r="P31" s="934">
        <f>K31*J31</f>
        <v>0</v>
      </c>
      <c r="Q31" s="864" t="s">
        <v>4236</v>
      </c>
      <c r="R31" s="469"/>
      <c r="S31" s="469"/>
      <c r="T31" s="469"/>
      <c r="U31" s="469"/>
    </row>
    <row r="32" spans="1:21" ht="75">
      <c r="A32" s="463">
        <v>73</v>
      </c>
      <c r="B32" s="866" t="s">
        <v>817</v>
      </c>
      <c r="C32" s="463" t="s">
        <v>818</v>
      </c>
      <c r="D32" s="758" t="s">
        <v>126</v>
      </c>
      <c r="E32" s="466">
        <f t="shared" si="1"/>
        <v>8</v>
      </c>
      <c r="F32" s="463" t="s">
        <v>2146</v>
      </c>
      <c r="G32" s="451">
        <v>0</v>
      </c>
      <c r="H32" s="463">
        <v>4</v>
      </c>
      <c r="I32" s="463">
        <v>4</v>
      </c>
      <c r="J32" s="469"/>
      <c r="K32" s="929">
        <v>900000</v>
      </c>
      <c r="L32" s="930">
        <f>K32*E32</f>
        <v>7200000</v>
      </c>
      <c r="M32" s="931">
        <f>K32*G32</f>
        <v>0</v>
      </c>
      <c r="N32" s="932">
        <f>K32*H32</f>
        <v>3600000</v>
      </c>
      <c r="O32" s="933">
        <f>K32*I32</f>
        <v>3600000</v>
      </c>
      <c r="P32" s="934">
        <f>K32*J32</f>
        <v>0</v>
      </c>
      <c r="Q32" s="864" t="s">
        <v>4236</v>
      </c>
      <c r="R32" s="469"/>
      <c r="S32" s="469"/>
      <c r="T32" s="469"/>
      <c r="U32" s="469"/>
    </row>
    <row r="33" spans="1:21" ht="75">
      <c r="A33" s="463">
        <v>74</v>
      </c>
      <c r="B33" s="866" t="s">
        <v>819</v>
      </c>
      <c r="C33" s="463" t="s">
        <v>820</v>
      </c>
      <c r="D33" s="758" t="s">
        <v>126</v>
      </c>
      <c r="E33" s="466">
        <f t="shared" si="1"/>
        <v>8</v>
      </c>
      <c r="F33" s="463" t="s">
        <v>2065</v>
      </c>
      <c r="G33" s="451">
        <v>0</v>
      </c>
      <c r="H33" s="463">
        <v>8</v>
      </c>
      <c r="I33" s="463">
        <v>0</v>
      </c>
      <c r="J33" s="469"/>
      <c r="K33" s="929">
        <v>250000</v>
      </c>
      <c r="L33" s="930">
        <f>K33*E33</f>
        <v>2000000</v>
      </c>
      <c r="M33" s="931">
        <f>K33*G33</f>
        <v>0</v>
      </c>
      <c r="N33" s="932">
        <f>K33*H33</f>
        <v>2000000</v>
      </c>
      <c r="O33" s="933">
        <f>K33*I33</f>
        <v>0</v>
      </c>
      <c r="P33" s="934">
        <f>K33*J33</f>
        <v>0</v>
      </c>
      <c r="Q33" s="864" t="s">
        <v>4236</v>
      </c>
      <c r="R33" s="469"/>
      <c r="S33" s="469"/>
      <c r="T33" s="469"/>
      <c r="U33" s="469"/>
    </row>
    <row r="34" spans="1:21" ht="105">
      <c r="A34" s="463">
        <v>75</v>
      </c>
      <c r="B34" s="866" t="s">
        <v>821</v>
      </c>
      <c r="C34" s="463" t="s">
        <v>822</v>
      </c>
      <c r="D34" s="758" t="s">
        <v>126</v>
      </c>
      <c r="E34" s="466">
        <f t="shared" si="1"/>
        <v>3</v>
      </c>
      <c r="F34" s="463" t="s">
        <v>2066</v>
      </c>
      <c r="G34" s="451">
        <v>0</v>
      </c>
      <c r="H34" s="463">
        <v>3</v>
      </c>
      <c r="I34" s="463">
        <v>0</v>
      </c>
      <c r="J34" s="759"/>
      <c r="K34" s="929">
        <v>1600000</v>
      </c>
      <c r="L34" s="936">
        <f t="shared" si="7"/>
        <v>4800000</v>
      </c>
      <c r="M34" s="936">
        <f t="shared" si="8"/>
        <v>0</v>
      </c>
      <c r="N34" s="936">
        <f t="shared" si="9"/>
        <v>4800000</v>
      </c>
      <c r="O34" s="936">
        <f t="shared" si="10"/>
        <v>0</v>
      </c>
      <c r="P34" s="936">
        <f t="shared" si="6"/>
        <v>0</v>
      </c>
      <c r="Q34" s="864" t="s">
        <v>4236</v>
      </c>
      <c r="R34" s="469"/>
      <c r="S34" s="469"/>
      <c r="T34" s="469"/>
      <c r="U34" s="469"/>
    </row>
    <row r="35" spans="1:21" ht="75">
      <c r="A35" s="463">
        <v>76</v>
      </c>
      <c r="B35" s="451" t="s">
        <v>823</v>
      </c>
      <c r="C35" s="463" t="s">
        <v>824</v>
      </c>
      <c r="D35" s="451" t="s">
        <v>126</v>
      </c>
      <c r="E35" s="466">
        <f t="shared" si="1"/>
        <v>2</v>
      </c>
      <c r="F35" s="463" t="s">
        <v>2067</v>
      </c>
      <c r="G35" s="451">
        <v>0</v>
      </c>
      <c r="H35" s="463">
        <v>2</v>
      </c>
      <c r="I35" s="463">
        <v>0</v>
      </c>
      <c r="J35" s="759">
        <v>0</v>
      </c>
      <c r="K35" s="929">
        <v>4500000</v>
      </c>
      <c r="L35" s="936">
        <f t="shared" si="7"/>
        <v>9000000</v>
      </c>
      <c r="M35" s="936">
        <f t="shared" si="8"/>
        <v>0</v>
      </c>
      <c r="N35" s="936">
        <f t="shared" si="9"/>
        <v>9000000</v>
      </c>
      <c r="O35" s="936">
        <f t="shared" si="10"/>
        <v>0</v>
      </c>
      <c r="P35" s="936">
        <f t="shared" si="6"/>
        <v>0</v>
      </c>
      <c r="Q35" s="864" t="s">
        <v>4236</v>
      </c>
      <c r="R35" s="469"/>
      <c r="S35" s="469"/>
      <c r="T35" s="469"/>
      <c r="U35" s="469"/>
    </row>
    <row r="36" spans="1:21" ht="210">
      <c r="A36" s="463">
        <v>77</v>
      </c>
      <c r="B36" s="463" t="s">
        <v>825</v>
      </c>
      <c r="C36" s="451" t="s">
        <v>826</v>
      </c>
      <c r="D36" s="451" t="s">
        <v>2068</v>
      </c>
      <c r="E36" s="466">
        <f t="shared" si="1"/>
        <v>21</v>
      </c>
      <c r="F36" s="463" t="s">
        <v>2069</v>
      </c>
      <c r="G36" s="451">
        <v>0</v>
      </c>
      <c r="H36" s="463">
        <v>21</v>
      </c>
      <c r="I36" s="463">
        <v>0</v>
      </c>
      <c r="J36" s="759">
        <v>0</v>
      </c>
      <c r="K36" s="929">
        <v>600000</v>
      </c>
      <c r="L36" s="936">
        <f t="shared" si="7"/>
        <v>12600000</v>
      </c>
      <c r="M36" s="936">
        <f t="shared" si="8"/>
        <v>0</v>
      </c>
      <c r="N36" s="936">
        <f t="shared" si="9"/>
        <v>12600000</v>
      </c>
      <c r="O36" s="936">
        <f t="shared" si="10"/>
        <v>0</v>
      </c>
      <c r="P36" s="936">
        <f t="shared" si="6"/>
        <v>0</v>
      </c>
      <c r="Q36" s="864" t="s">
        <v>4236</v>
      </c>
      <c r="R36" s="469"/>
      <c r="S36" s="469"/>
      <c r="T36" s="469"/>
      <c r="U36" s="469"/>
    </row>
    <row r="37" spans="1:21" ht="42.75">
      <c r="A37" s="463">
        <v>78</v>
      </c>
      <c r="B37" s="463" t="s">
        <v>827</v>
      </c>
      <c r="C37" s="451" t="s">
        <v>828</v>
      </c>
      <c r="D37" s="451" t="s">
        <v>126</v>
      </c>
      <c r="E37" s="466">
        <f t="shared" si="1"/>
        <v>5</v>
      </c>
      <c r="F37" s="463" t="s">
        <v>2070</v>
      </c>
      <c r="G37" s="451">
        <v>0</v>
      </c>
      <c r="H37" s="463">
        <v>5</v>
      </c>
      <c r="I37" s="463">
        <v>0</v>
      </c>
      <c r="J37" s="759">
        <v>0</v>
      </c>
      <c r="K37" s="929">
        <v>550000</v>
      </c>
      <c r="L37" s="930">
        <f t="shared" si="7"/>
        <v>2750000</v>
      </c>
      <c r="M37" s="931">
        <f t="shared" si="8"/>
        <v>0</v>
      </c>
      <c r="N37" s="932">
        <f t="shared" si="9"/>
        <v>2750000</v>
      </c>
      <c r="O37" s="933">
        <f t="shared" si="10"/>
        <v>0</v>
      </c>
      <c r="P37" s="934">
        <f t="shared" si="6"/>
        <v>0</v>
      </c>
      <c r="Q37" s="864" t="s">
        <v>4236</v>
      </c>
      <c r="R37" s="469"/>
      <c r="S37" s="469"/>
      <c r="T37" s="469"/>
      <c r="U37" s="469"/>
    </row>
    <row r="38" spans="1:21" ht="42.75">
      <c r="A38" s="463">
        <v>79</v>
      </c>
      <c r="B38" s="463" t="s">
        <v>829</v>
      </c>
      <c r="C38" s="451" t="s">
        <v>828</v>
      </c>
      <c r="D38" s="451" t="s">
        <v>126</v>
      </c>
      <c r="E38" s="466">
        <f t="shared" si="1"/>
        <v>5</v>
      </c>
      <c r="F38" s="463" t="s">
        <v>2070</v>
      </c>
      <c r="G38" s="451">
        <v>0</v>
      </c>
      <c r="H38" s="463">
        <v>5</v>
      </c>
      <c r="I38" s="463">
        <v>0</v>
      </c>
      <c r="J38" s="759">
        <v>0</v>
      </c>
      <c r="K38" s="929">
        <v>550000</v>
      </c>
      <c r="L38" s="930">
        <f t="shared" si="7"/>
        <v>2750000</v>
      </c>
      <c r="M38" s="931">
        <f t="shared" si="8"/>
        <v>0</v>
      </c>
      <c r="N38" s="932">
        <f t="shared" si="9"/>
        <v>2750000</v>
      </c>
      <c r="O38" s="933">
        <f t="shared" si="10"/>
        <v>0</v>
      </c>
      <c r="P38" s="934">
        <f t="shared" si="6"/>
        <v>0</v>
      </c>
      <c r="Q38" s="864" t="s">
        <v>4236</v>
      </c>
      <c r="R38" s="469"/>
      <c r="S38" s="469"/>
      <c r="T38" s="469"/>
      <c r="U38" s="469"/>
    </row>
    <row r="39" spans="1:21" ht="42.75">
      <c r="A39" s="463">
        <v>80</v>
      </c>
      <c r="B39" s="463" t="s">
        <v>830</v>
      </c>
      <c r="C39" s="451" t="s">
        <v>831</v>
      </c>
      <c r="D39" s="451" t="s">
        <v>126</v>
      </c>
      <c r="E39" s="466">
        <f t="shared" si="1"/>
        <v>5</v>
      </c>
      <c r="F39" s="463" t="s">
        <v>2070</v>
      </c>
      <c r="G39" s="451">
        <v>0</v>
      </c>
      <c r="H39" s="463">
        <v>5</v>
      </c>
      <c r="I39" s="463">
        <v>0</v>
      </c>
      <c r="J39" s="759">
        <v>0</v>
      </c>
      <c r="K39" s="929">
        <v>550000</v>
      </c>
      <c r="L39" s="930">
        <f t="shared" si="7"/>
        <v>2750000</v>
      </c>
      <c r="M39" s="931">
        <f t="shared" si="8"/>
        <v>0</v>
      </c>
      <c r="N39" s="932">
        <f t="shared" si="9"/>
        <v>2750000</v>
      </c>
      <c r="O39" s="933">
        <f t="shared" si="10"/>
        <v>0</v>
      </c>
      <c r="P39" s="934">
        <f t="shared" si="6"/>
        <v>0</v>
      </c>
      <c r="Q39" s="864" t="s">
        <v>4236</v>
      </c>
      <c r="R39" s="469"/>
      <c r="S39" s="469"/>
      <c r="T39" s="469"/>
      <c r="U39" s="469"/>
    </row>
    <row r="40" spans="1:21" ht="42.75">
      <c r="A40" s="463">
        <v>81</v>
      </c>
      <c r="B40" s="463" t="s">
        <v>832</v>
      </c>
      <c r="C40" s="451" t="s">
        <v>831</v>
      </c>
      <c r="D40" s="451" t="s">
        <v>126</v>
      </c>
      <c r="E40" s="466">
        <f t="shared" si="1"/>
        <v>5</v>
      </c>
      <c r="F40" s="463" t="s">
        <v>2070</v>
      </c>
      <c r="G40" s="451">
        <v>0</v>
      </c>
      <c r="H40" s="463">
        <v>5</v>
      </c>
      <c r="I40" s="463">
        <v>0</v>
      </c>
      <c r="J40" s="759">
        <v>0</v>
      </c>
      <c r="K40" s="929">
        <v>550000</v>
      </c>
      <c r="L40" s="930">
        <f t="shared" si="7"/>
        <v>2750000</v>
      </c>
      <c r="M40" s="931">
        <f t="shared" si="8"/>
        <v>0</v>
      </c>
      <c r="N40" s="932">
        <f t="shared" si="9"/>
        <v>2750000</v>
      </c>
      <c r="O40" s="933">
        <f t="shared" si="10"/>
        <v>0</v>
      </c>
      <c r="P40" s="934">
        <f t="shared" si="6"/>
        <v>0</v>
      </c>
      <c r="Q40" s="864" t="s">
        <v>4236</v>
      </c>
      <c r="R40" s="469"/>
      <c r="S40" s="469"/>
      <c r="T40" s="469"/>
      <c r="U40" s="469"/>
    </row>
    <row r="41" spans="1:21" ht="42.75">
      <c r="A41" s="463">
        <v>82</v>
      </c>
      <c r="B41" s="463" t="s">
        <v>833</v>
      </c>
      <c r="C41" s="451" t="s">
        <v>834</v>
      </c>
      <c r="D41" s="451" t="s">
        <v>835</v>
      </c>
      <c r="E41" s="466">
        <f t="shared" si="1"/>
        <v>5</v>
      </c>
      <c r="F41" s="463" t="s">
        <v>837</v>
      </c>
      <c r="G41" s="451">
        <v>0</v>
      </c>
      <c r="H41" s="463">
        <v>5</v>
      </c>
      <c r="I41" s="463">
        <v>0</v>
      </c>
      <c r="J41" s="759">
        <v>0</v>
      </c>
      <c r="K41" s="929">
        <v>550000</v>
      </c>
      <c r="L41" s="930">
        <f t="shared" si="7"/>
        <v>2750000</v>
      </c>
      <c r="M41" s="931">
        <f t="shared" si="8"/>
        <v>0</v>
      </c>
      <c r="N41" s="932">
        <f t="shared" si="9"/>
        <v>2750000</v>
      </c>
      <c r="O41" s="933">
        <f t="shared" si="10"/>
        <v>0</v>
      </c>
      <c r="P41" s="934">
        <f t="shared" si="6"/>
        <v>0</v>
      </c>
      <c r="Q41" s="864" t="s">
        <v>4236</v>
      </c>
      <c r="R41" s="469"/>
      <c r="S41" s="469"/>
      <c r="T41" s="469"/>
      <c r="U41" s="469"/>
    </row>
    <row r="42" spans="1:21">
      <c r="A42" s="1182" t="s">
        <v>2147</v>
      </c>
      <c r="B42" s="1182"/>
      <c r="C42" s="1182"/>
      <c r="D42" s="1182"/>
      <c r="E42" s="1182"/>
      <c r="F42" s="1182"/>
      <c r="G42" s="1182"/>
      <c r="H42" s="1182"/>
      <c r="I42" s="1182"/>
      <c r="J42" s="1182"/>
      <c r="K42" s="929"/>
      <c r="L42" s="935">
        <f>SUM(L43:L48)</f>
        <v>219128000</v>
      </c>
      <c r="M42" s="935">
        <f>SUM(M43:M48)</f>
        <v>0</v>
      </c>
      <c r="N42" s="935">
        <f>SUM(N43:N48)</f>
        <v>219128000</v>
      </c>
      <c r="O42" s="935">
        <f>SUM(O43:O48)</f>
        <v>0</v>
      </c>
      <c r="P42" s="935">
        <f>SUM(P43:P48)</f>
        <v>0</v>
      </c>
      <c r="Q42" s="865"/>
      <c r="R42" s="469"/>
      <c r="S42" s="469"/>
      <c r="T42" s="469"/>
      <c r="U42" s="469"/>
    </row>
    <row r="43" spans="1:21" ht="60">
      <c r="A43" s="872">
        <v>83</v>
      </c>
      <c r="B43" s="870" t="s">
        <v>2148</v>
      </c>
      <c r="C43" s="824" t="s">
        <v>2149</v>
      </c>
      <c r="D43" s="464" t="s">
        <v>286</v>
      </c>
      <c r="E43" s="465">
        <f t="shared" ref="E43:E48" si="11">G43+H43+I43+J43</f>
        <v>2</v>
      </c>
      <c r="F43" s="824" t="s">
        <v>2150</v>
      </c>
      <c r="G43" s="451">
        <v>0</v>
      </c>
      <c r="H43" s="824">
        <v>2</v>
      </c>
      <c r="I43" s="824">
        <v>0</v>
      </c>
      <c r="J43" s="759">
        <v>0</v>
      </c>
      <c r="K43" s="929">
        <v>6256000</v>
      </c>
      <c r="L43" s="930">
        <f t="shared" si="7"/>
        <v>12512000</v>
      </c>
      <c r="M43" s="931">
        <f t="shared" si="8"/>
        <v>0</v>
      </c>
      <c r="N43" s="932">
        <f t="shared" si="9"/>
        <v>12512000</v>
      </c>
      <c r="O43" s="933">
        <f t="shared" si="10"/>
        <v>0</v>
      </c>
      <c r="P43" s="934">
        <f t="shared" si="6"/>
        <v>0</v>
      </c>
      <c r="Q43" s="864" t="s">
        <v>4236</v>
      </c>
      <c r="R43" s="469"/>
      <c r="S43" s="469"/>
      <c r="T43" s="469"/>
      <c r="U43" s="469"/>
    </row>
    <row r="44" spans="1:21" ht="60">
      <c r="A44" s="475">
        <v>84</v>
      </c>
      <c r="B44" s="870" t="s">
        <v>2151</v>
      </c>
      <c r="C44" s="824" t="s">
        <v>2152</v>
      </c>
      <c r="D44" s="871" t="s">
        <v>286</v>
      </c>
      <c r="E44" s="465">
        <f t="shared" si="11"/>
        <v>2000</v>
      </c>
      <c r="F44" s="824" t="s">
        <v>2153</v>
      </c>
      <c r="G44" s="451">
        <v>0</v>
      </c>
      <c r="H44" s="824">
        <v>2000</v>
      </c>
      <c r="I44" s="824">
        <v>0</v>
      </c>
      <c r="J44" s="759">
        <v>0</v>
      </c>
      <c r="K44" s="929">
        <v>39800</v>
      </c>
      <c r="L44" s="930">
        <f t="shared" si="7"/>
        <v>79600000</v>
      </c>
      <c r="M44" s="931">
        <f t="shared" si="8"/>
        <v>0</v>
      </c>
      <c r="N44" s="932">
        <f t="shared" si="9"/>
        <v>79600000</v>
      </c>
      <c r="O44" s="933">
        <f t="shared" si="10"/>
        <v>0</v>
      </c>
      <c r="P44" s="934">
        <f t="shared" si="6"/>
        <v>0</v>
      </c>
      <c r="Q44" s="864" t="s">
        <v>4236</v>
      </c>
      <c r="R44" s="469"/>
      <c r="S44" s="469"/>
      <c r="T44" s="469"/>
      <c r="U44" s="469"/>
    </row>
    <row r="45" spans="1:21" ht="45">
      <c r="A45" s="872">
        <v>85</v>
      </c>
      <c r="B45" s="870" t="s">
        <v>2154</v>
      </c>
      <c r="C45" s="824" t="s">
        <v>2155</v>
      </c>
      <c r="D45" s="871" t="s">
        <v>286</v>
      </c>
      <c r="E45" s="465">
        <f t="shared" si="11"/>
        <v>100</v>
      </c>
      <c r="F45" s="824" t="s">
        <v>2153</v>
      </c>
      <c r="G45" s="451">
        <v>0</v>
      </c>
      <c r="H45" s="824">
        <v>100</v>
      </c>
      <c r="I45" s="824">
        <v>0</v>
      </c>
      <c r="J45" s="759">
        <v>0</v>
      </c>
      <c r="K45" s="929">
        <v>965800</v>
      </c>
      <c r="L45" s="930">
        <f t="shared" si="7"/>
        <v>96580000</v>
      </c>
      <c r="M45" s="931">
        <f t="shared" si="8"/>
        <v>0</v>
      </c>
      <c r="N45" s="932">
        <f t="shared" si="9"/>
        <v>96580000</v>
      </c>
      <c r="O45" s="933">
        <f t="shared" si="10"/>
        <v>0</v>
      </c>
      <c r="P45" s="934">
        <f t="shared" si="6"/>
        <v>0</v>
      </c>
      <c r="Q45" s="864" t="s">
        <v>4236</v>
      </c>
      <c r="R45" s="469"/>
      <c r="S45" s="469"/>
      <c r="T45" s="469"/>
      <c r="U45" s="469"/>
    </row>
    <row r="46" spans="1:21" ht="90">
      <c r="A46" s="475">
        <v>86</v>
      </c>
      <c r="B46" s="824" t="s">
        <v>2156</v>
      </c>
      <c r="C46" s="824" t="s">
        <v>2157</v>
      </c>
      <c r="D46" s="871" t="s">
        <v>68</v>
      </c>
      <c r="E46" s="465">
        <f t="shared" si="11"/>
        <v>10000</v>
      </c>
      <c r="F46" s="824" t="s">
        <v>2158</v>
      </c>
      <c r="G46" s="451">
        <v>0</v>
      </c>
      <c r="H46" s="824">
        <v>10000</v>
      </c>
      <c r="I46" s="824">
        <v>0</v>
      </c>
      <c r="J46" s="759">
        <v>0</v>
      </c>
      <c r="K46" s="929">
        <v>1512</v>
      </c>
      <c r="L46" s="930">
        <f t="shared" si="7"/>
        <v>15120000</v>
      </c>
      <c r="M46" s="931">
        <f t="shared" si="8"/>
        <v>0</v>
      </c>
      <c r="N46" s="932">
        <f t="shared" si="9"/>
        <v>15120000</v>
      </c>
      <c r="O46" s="933">
        <f t="shared" si="10"/>
        <v>0</v>
      </c>
      <c r="P46" s="934">
        <f t="shared" si="6"/>
        <v>0</v>
      </c>
      <c r="Q46" s="864" t="s">
        <v>4236</v>
      </c>
      <c r="R46" s="469"/>
      <c r="S46" s="469"/>
      <c r="T46" s="469"/>
      <c r="U46" s="469"/>
    </row>
    <row r="47" spans="1:21" ht="60">
      <c r="A47" s="872">
        <v>87</v>
      </c>
      <c r="B47" s="824" t="s">
        <v>2159</v>
      </c>
      <c r="C47" s="824" t="s">
        <v>2157</v>
      </c>
      <c r="D47" s="871" t="s">
        <v>68</v>
      </c>
      <c r="E47" s="465">
        <f t="shared" si="11"/>
        <v>5000</v>
      </c>
      <c r="F47" s="824" t="s">
        <v>2160</v>
      </c>
      <c r="G47" s="451">
        <v>0</v>
      </c>
      <c r="H47" s="824">
        <v>5000</v>
      </c>
      <c r="I47" s="824">
        <v>0</v>
      </c>
      <c r="J47" s="759">
        <v>0</v>
      </c>
      <c r="K47" s="929">
        <v>1512</v>
      </c>
      <c r="L47" s="930">
        <f t="shared" si="7"/>
        <v>7560000</v>
      </c>
      <c r="M47" s="931">
        <f t="shared" si="8"/>
        <v>0</v>
      </c>
      <c r="N47" s="932">
        <f t="shared" si="9"/>
        <v>7560000</v>
      </c>
      <c r="O47" s="933">
        <f t="shared" si="10"/>
        <v>0</v>
      </c>
      <c r="P47" s="934">
        <f t="shared" si="6"/>
        <v>0</v>
      </c>
      <c r="Q47" s="864" t="s">
        <v>4236</v>
      </c>
      <c r="R47" s="469"/>
      <c r="S47" s="469"/>
      <c r="T47" s="469"/>
      <c r="U47" s="469"/>
    </row>
    <row r="48" spans="1:21" ht="60">
      <c r="A48" s="475">
        <v>88</v>
      </c>
      <c r="B48" s="451" t="s">
        <v>2161</v>
      </c>
      <c r="C48" s="824" t="s">
        <v>2149</v>
      </c>
      <c r="D48" s="465" t="s">
        <v>286</v>
      </c>
      <c r="E48" s="465">
        <f t="shared" si="11"/>
        <v>2</v>
      </c>
      <c r="F48" s="824" t="s">
        <v>2162</v>
      </c>
      <c r="G48" s="451">
        <v>0</v>
      </c>
      <c r="H48" s="824">
        <v>2</v>
      </c>
      <c r="I48" s="824">
        <v>0</v>
      </c>
      <c r="J48" s="759">
        <v>0</v>
      </c>
      <c r="K48" s="929">
        <v>3878000</v>
      </c>
      <c r="L48" s="930">
        <f t="shared" si="7"/>
        <v>7756000</v>
      </c>
      <c r="M48" s="931">
        <f t="shared" si="8"/>
        <v>0</v>
      </c>
      <c r="N48" s="932">
        <f t="shared" si="9"/>
        <v>7756000</v>
      </c>
      <c r="O48" s="933">
        <f t="shared" si="10"/>
        <v>0</v>
      </c>
      <c r="P48" s="934">
        <f t="shared" si="6"/>
        <v>0</v>
      </c>
      <c r="Q48" s="864" t="s">
        <v>4236</v>
      </c>
      <c r="R48" s="469"/>
      <c r="S48" s="469"/>
      <c r="T48" s="469"/>
      <c r="U48" s="469"/>
    </row>
    <row r="49" spans="11:21">
      <c r="K49" s="937" t="s">
        <v>2996</v>
      </c>
      <c r="L49" s="938">
        <f>SUM(L42,L8,L3)</f>
        <v>597993000</v>
      </c>
      <c r="M49" s="938">
        <f>SUM(M42,M8,M3)</f>
        <v>38500000</v>
      </c>
      <c r="N49" s="938">
        <f>SUM(N42,N8,N3)</f>
        <v>522359000</v>
      </c>
      <c r="O49" s="938">
        <f>SUM(O42,O8,O3)</f>
        <v>37134000</v>
      </c>
      <c r="P49" s="938">
        <f>SUM(P42,P8,P3)</f>
        <v>0</v>
      </c>
      <c r="R49" s="469"/>
      <c r="S49" s="469"/>
      <c r="T49" s="469"/>
      <c r="U49" s="469"/>
    </row>
    <row r="56" spans="11:21">
      <c r="N56" s="418"/>
    </row>
  </sheetData>
  <customSheetViews>
    <customSheetView guid="{750F99BE-5C19-4848-A09A-0E4FD0F9F8FC}" scale="70" hiddenRows="1">
      <selection activeCell="A48" sqref="A4:XFD48"/>
      <pageMargins left="0.7" right="0.7" top="0.75" bottom="0.75" header="0.3" footer="0.3"/>
      <pageSetup paperSize="9" orientation="portrait" verticalDpi="0" r:id="rId1"/>
    </customSheetView>
    <customSheetView guid="{DEF9C65D-F8A0-4631-A6BF-69DD462E745F}" scale="70" hiddenRows="1">
      <selection activeCell="A48" sqref="A4:XFD48"/>
      <pageMargins left="0.7" right="0.7" top="0.75" bottom="0.75" header="0.3" footer="0.3"/>
      <pageSetup paperSize="9" orientation="portrait" verticalDpi="0" r:id="rId2"/>
    </customSheetView>
    <customSheetView guid="{F53706EC-596C-4347-9C22-A701412B0A41}" scale="70" hiddenRows="1">
      <selection activeCell="A48" sqref="A4:XFD48"/>
      <pageMargins left="0.7" right="0.7" top="0.75" bottom="0.75" header="0.3" footer="0.3"/>
      <pageSetup paperSize="9" orientation="portrait" verticalDpi="0" r:id="rId3"/>
    </customSheetView>
    <customSheetView guid="{93AFD236-396B-4FF3-AB41-05714D8754DB}" scale="70" hiddenRows="1">
      <selection activeCell="A48" sqref="A4:XFD48"/>
      <pageMargins left="0.7" right="0.7" top="0.75" bottom="0.75" header="0.3" footer="0.3"/>
      <pageSetup paperSize="9" orientation="portrait" verticalDpi="0" r:id="rId4"/>
    </customSheetView>
  </customSheetViews>
  <mergeCells count="21">
    <mergeCell ref="K1:K2"/>
    <mergeCell ref="L1:L2"/>
    <mergeCell ref="M1:M2"/>
    <mergeCell ref="R1:R2"/>
    <mergeCell ref="A42:J42"/>
    <mergeCell ref="G1:J1"/>
    <mergeCell ref="A1:A2"/>
    <mergeCell ref="B1:B2"/>
    <mergeCell ref="C1:C2"/>
    <mergeCell ref="D1:D2"/>
    <mergeCell ref="E1:E2"/>
    <mergeCell ref="F1:F2"/>
    <mergeCell ref="A3:J3"/>
    <mergeCell ref="A8:J8"/>
    <mergeCell ref="S1:S2"/>
    <mergeCell ref="T1:T2"/>
    <mergeCell ref="U1:U2"/>
    <mergeCell ref="N1:N2"/>
    <mergeCell ref="O1:O2"/>
    <mergeCell ref="Q1:Q2"/>
    <mergeCell ref="P1:P2"/>
  </mergeCells>
  <hyperlinks>
    <hyperlink ref="C19" r:id="rId5" display="http://docs.cntd.ru/document/1200100953" xr:uid="{00000000-0004-0000-0800-000000000000}"/>
    <hyperlink ref="C21" r:id="rId6" display="https://аир.com.ua/katalog_elektrodvigatelei_air/air-112m2-7-5-kvt-3000-ob-min/" xr:uid="{00000000-0004-0000-0800-000001000000}"/>
    <hyperlink ref="C30" r:id="rId7" tooltip="Электрическая цепь" display="https://ru.wikipedia.org/wiki/%D0%AD%D0%BB%D0%B5%D0%BA%D1%82%D1%80%D0%B8%D1%87%D0%B5%D1%81%D0%BA%D0%B0%D1%8F_%D1%86%D0%B5%D0%BF%D1%8C" xr:uid="{00000000-0004-0000-0800-000002000000}"/>
  </hyperlinks>
  <pageMargins left="0.7" right="0.7" top="0.75" bottom="0.75" header="0.3" footer="0.3"/>
  <pageSetup paperSize="9" orientation="portrait" verticalDpi="0"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17</vt:i4>
      </vt:variant>
    </vt:vector>
  </HeadingPairs>
  <TitlesOfParts>
    <vt:vector size="17" baseType="lpstr">
      <vt:lpstr>Общий свод</vt:lpstr>
      <vt:lpstr>Объедененный перечень</vt:lpstr>
      <vt:lpstr>Энергетика</vt:lpstr>
      <vt:lpstr>Транспорт</vt:lpstr>
      <vt:lpstr>ГСМ</vt:lpstr>
      <vt:lpstr>ММ ва ТХ</vt:lpstr>
      <vt:lpstr>Горный отд.</vt:lpstr>
      <vt:lpstr>Геология</vt:lpstr>
      <vt:lpstr>Геофизика</vt:lpstr>
      <vt:lpstr>ПТО</vt:lpstr>
      <vt:lpstr>Механика</vt:lpstr>
      <vt:lpstr>Металлопрокат</vt:lpstr>
      <vt:lpstr>Оргтехника</vt:lpstr>
      <vt:lpstr>Буровые инструменты ССК</vt:lpstr>
      <vt:lpstr>Канцтовары</vt:lpstr>
      <vt:lpstr>Канцтовары 1</vt:lpstr>
      <vt:lpstr>31-Приказ</vt:lpstr>
    </vt:vector>
  </TitlesOfParts>
  <Company>Donstroy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Расулов Тохир Шерматович</cp:lastModifiedBy>
  <cp:revision/>
  <cp:lastPrinted>2024-03-13T11:58:16Z</cp:lastPrinted>
  <dcterms:created xsi:type="dcterms:W3CDTF">2022-12-09T09:13:24Z</dcterms:created>
  <dcterms:modified xsi:type="dcterms:W3CDTF">2024-08-08T06:14:52Z</dcterms:modified>
</cp:coreProperties>
</file>