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Отдел экономики и финансов\ОЭиФ\ТЭП 2025\"/>
    </mc:Choice>
  </mc:AlternateContent>
  <xr:revisionPtr revIDLastSave="0" documentId="13_ncr:1_{6B62CE73-85C6-4481-B76C-CFAA2D7ABE13}" xr6:coauthVersionLast="47" xr6:coauthVersionMax="47" xr10:uidLastSave="{00000000-0000-0000-0000-000000000000}"/>
  <bookViews>
    <workbookView xWindow="-120" yWindow="-120" windowWidth="29040" windowHeight="15840" tabRatio="851" xr2:uid="{3F230C2B-0F03-4B20-8C0B-EEF3D3878DFC}"/>
  </bookViews>
  <sheets>
    <sheet name="ТЭП таб.1" sheetId="1" r:id="rId1"/>
    <sheet name="СМК (2024)" sheetId="2" r:id="rId2"/>
    <sheet name="ф-2(1кв.2025)" sheetId="3" r:id="rId3"/>
    <sheet name="ф-1(1кв.2025)" sheetId="4" r:id="rId4"/>
  </sheets>
  <externalReferences>
    <externalReference r:id="rId5"/>
    <externalReference r:id="rId6"/>
  </externalReferences>
  <definedNames>
    <definedName name="a" localSheetId="1">#REF!</definedName>
    <definedName name="a">#REF!</definedName>
    <definedName name="ddddd" localSheetId="1">#REF!</definedName>
    <definedName name="ddddd">#REF!</definedName>
    <definedName name="ал" localSheetId="1">#REF!</definedName>
    <definedName name="ал" localSheetId="0">'ТЭП таб.1'!#REF!</definedName>
    <definedName name="ал">#REF!</definedName>
    <definedName name="ба" localSheetId="1">#REF!</definedName>
    <definedName name="ба" localSheetId="0">'ТЭП таб.1'!#REF!</definedName>
    <definedName name="ба">#REF!</definedName>
    <definedName name="ввввв" localSheetId="1">#REF!</definedName>
    <definedName name="ввввв">#REF!</definedName>
    <definedName name="вк" localSheetId="1">#REF!</definedName>
    <definedName name="вк" localSheetId="0">'ТЭП таб.1'!#REF!</definedName>
    <definedName name="вк">#REF!</definedName>
    <definedName name="гис" localSheetId="1">#REF!</definedName>
    <definedName name="гис" localSheetId="0">'ТЭП таб.1'!#REF!</definedName>
    <definedName name="гис">#REF!</definedName>
    <definedName name="да" localSheetId="1">#REF!</definedName>
    <definedName name="да" localSheetId="0">'ТЭП таб.1'!#REF!</definedName>
    <definedName name="да">#REF!</definedName>
    <definedName name="за" localSheetId="1">#REF!</definedName>
    <definedName name="за" localSheetId="0">'ТЭП таб.1'!#REF!</definedName>
    <definedName name="за">#REF!</definedName>
    <definedName name="_xlnm.Print_Titles" localSheetId="1">#REF!</definedName>
    <definedName name="_xlnm.Print_Titles" localSheetId="0">'ТЭП таб.1'!$A:$C</definedName>
    <definedName name="_xlnm.Print_Titles">#REF!</definedName>
    <definedName name="зр" localSheetId="1">#REF!</definedName>
    <definedName name="зр" localSheetId="0">'ТЭП таб.1'!#REF!</definedName>
    <definedName name="зр">#REF!</definedName>
    <definedName name="ии" localSheetId="1">#REF!</definedName>
    <definedName name="ии">#REF!</definedName>
    <definedName name="као" localSheetId="1">#REF!</definedName>
    <definedName name="као" localSheetId="0">'ТЭП таб.1'!#REF!</definedName>
    <definedName name="као">#REF!</definedName>
    <definedName name="ко" localSheetId="1">#REF!</definedName>
    <definedName name="ко" localSheetId="0">'ТЭП таб.1'!#REF!</definedName>
    <definedName name="ко">#REF!</definedName>
    <definedName name="ком" localSheetId="1">#REF!</definedName>
    <definedName name="ком" localSheetId="0">'ТЭП таб.1'!#REF!</definedName>
    <definedName name="ком">#REF!</definedName>
    <definedName name="_xlnm.Criteria" localSheetId="1">#REF!</definedName>
    <definedName name="_xlnm.Criteria">#REF!</definedName>
    <definedName name="кы" localSheetId="1">#REF!</definedName>
    <definedName name="кы" localSheetId="0">'ТЭП таб.1'!#REF!</definedName>
    <definedName name="кы">#REF!</definedName>
    <definedName name="нн" localSheetId="1">#REF!</definedName>
    <definedName name="нн">#REF!</definedName>
    <definedName name="_xlnm.Print_Area" localSheetId="2">'ф-2(1кв.2025)'!$B$4:$I$40</definedName>
    <definedName name="ол" localSheetId="1">#REF!</definedName>
    <definedName name="ол">#REF!</definedName>
    <definedName name="Прил" localSheetId="1">#REF!</definedName>
    <definedName name="Прил">#REF!</definedName>
    <definedName name="Р2">'[1]План будущий'!$B$1:$H$1</definedName>
    <definedName name="сао" localSheetId="1">#REF!</definedName>
    <definedName name="сао" localSheetId="0">'ТЭП таб.1'!#REF!</definedName>
    <definedName name="сао">#REF!</definedName>
    <definedName name="сн" localSheetId="1">#REF!</definedName>
    <definedName name="сн" localSheetId="0">'ТЭП таб.1'!#REF!</definedName>
    <definedName name="сн">#REF!</definedName>
    <definedName name="сур" localSheetId="1">#REF!</definedName>
    <definedName name="сур" localSheetId="0">'ТЭП таб.1'!#REF!</definedName>
    <definedName name="сур">#REF!</definedName>
    <definedName name="тао" localSheetId="1">#REF!</definedName>
    <definedName name="тао" localSheetId="0">'ТЭП таб.1'!#REF!</definedName>
    <definedName name="тао">#REF!</definedName>
    <definedName name="ф6" localSheetId="1">#REF!</definedName>
    <definedName name="ф6">#REF!</definedName>
    <definedName name="цл" localSheetId="1">#REF!</definedName>
    <definedName name="цл" localSheetId="0">'ТЭП таб.1'!#REF!</definedName>
    <definedName name="цл">#REF!</definedName>
    <definedName name="элла">'[2]План будущий'!$B$1:$H$1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" l="1"/>
  <c r="L35" i="1"/>
  <c r="L31" i="1"/>
  <c r="L40" i="1"/>
  <c r="L36" i="1"/>
  <c r="L32" i="1"/>
  <c r="L30" i="1"/>
  <c r="K29" i="1"/>
  <c r="L29" i="1" l="1"/>
  <c r="M30" i="1" s="1"/>
  <c r="F78" i="4" l="1"/>
  <c r="F34" i="4"/>
  <c r="F9" i="4" l="1"/>
  <c r="F11" i="2"/>
  <c r="F10" i="2"/>
  <c r="F8" i="2"/>
  <c r="E79" i="4" l="1"/>
  <c r="E78" i="4" s="1"/>
  <c r="E97" i="4" s="1"/>
  <c r="E67" i="4"/>
  <c r="E66" i="4"/>
  <c r="E64" i="4"/>
  <c r="E46" i="4"/>
  <c r="E34" i="4"/>
  <c r="E27" i="4"/>
  <c r="E53" i="4" s="1"/>
  <c r="E15" i="4"/>
  <c r="E14" i="4"/>
  <c r="E10" i="4"/>
  <c r="E25" i="4" s="1"/>
  <c r="E54" i="4" s="1"/>
  <c r="N48" i="3"/>
  <c r="L48" i="3"/>
  <c r="K51" i="3" s="1"/>
  <c r="K48" i="3"/>
  <c r="J48" i="3"/>
  <c r="Z47" i="3"/>
  <c r="U47" i="3"/>
  <c r="R47" i="3"/>
  <c r="AL45" i="3"/>
  <c r="AI45" i="3"/>
  <c r="AM36" i="3"/>
  <c r="AJ36" i="3"/>
  <c r="AA36" i="3"/>
  <c r="X36" i="3"/>
  <c r="AR34" i="3"/>
  <c r="J34" i="3"/>
  <c r="I34" i="3"/>
  <c r="F34" i="3"/>
  <c r="AM33" i="3"/>
  <c r="AJ33" i="3"/>
  <c r="AG33" i="3"/>
  <c r="AG36" i="3" s="1"/>
  <c r="AD33" i="3"/>
  <c r="AD36" i="3" s="1"/>
  <c r="AA33" i="3"/>
  <c r="X33" i="3"/>
  <c r="U33" i="3"/>
  <c r="U36" i="3" s="1"/>
  <c r="R33" i="3"/>
  <c r="R36" i="3" s="1"/>
  <c r="J29" i="3"/>
  <c r="H29" i="3"/>
  <c r="I29" i="3" s="1"/>
  <c r="F29" i="3"/>
  <c r="AD26" i="3"/>
  <c r="L26" i="3"/>
  <c r="H26" i="3"/>
  <c r="J26" i="3" s="1"/>
  <c r="E26" i="3"/>
  <c r="F26" i="3" s="1"/>
  <c r="J24" i="3"/>
  <c r="I24" i="3"/>
  <c r="F24" i="3"/>
  <c r="F23" i="3"/>
  <c r="J22" i="3"/>
  <c r="I22" i="3"/>
  <c r="F22" i="3"/>
  <c r="J21" i="3"/>
  <c r="I21" i="3"/>
  <c r="F21" i="3"/>
  <c r="AL20" i="3"/>
  <c r="AC20" i="3"/>
  <c r="Z20" i="3"/>
  <c r="K20" i="3"/>
  <c r="G20" i="3"/>
  <c r="J20" i="3" s="1"/>
  <c r="D20" i="3"/>
  <c r="F20" i="3" s="1"/>
  <c r="AL18" i="3"/>
  <c r="AE18" i="3"/>
  <c r="AB18" i="3"/>
  <c r="Y18" i="3"/>
  <c r="V18" i="3"/>
  <c r="S18" i="3"/>
  <c r="P18" i="3"/>
  <c r="K18" i="3"/>
  <c r="J18" i="3"/>
  <c r="I18" i="3"/>
  <c r="F18" i="3"/>
  <c r="AM16" i="3"/>
  <c r="AN16" i="3" s="1"/>
  <c r="AK16" i="3"/>
  <c r="AH16" i="3"/>
  <c r="AE16" i="3"/>
  <c r="AB16" i="3"/>
  <c r="Y16" i="3"/>
  <c r="V16" i="3"/>
  <c r="S16" i="3"/>
  <c r="P16" i="3"/>
  <c r="J16" i="3"/>
  <c r="I16" i="3"/>
  <c r="F16" i="3"/>
  <c r="AM15" i="3"/>
  <c r="AN15" i="3" s="1"/>
  <c r="AK15" i="3"/>
  <c r="AH15" i="3"/>
  <c r="AE15" i="3"/>
  <c r="AB15" i="3"/>
  <c r="Y15" i="3"/>
  <c r="V15" i="3"/>
  <c r="S15" i="3"/>
  <c r="P15" i="3"/>
  <c r="J15" i="3"/>
  <c r="I15" i="3"/>
  <c r="F15" i="3"/>
  <c r="AB14" i="3"/>
  <c r="H14" i="3"/>
  <c r="I14" i="3" s="1"/>
  <c r="F14" i="3"/>
  <c r="AM13" i="3"/>
  <c r="AN13" i="3" s="1"/>
  <c r="AJ13" i="3"/>
  <c r="AK13" i="3" s="1"/>
  <c r="AG13" i="3"/>
  <c r="AF19" i="3" s="1"/>
  <c r="AD13" i="3"/>
  <c r="AC19" i="3" s="1"/>
  <c r="AA13" i="3"/>
  <c r="Z19" i="3" s="1"/>
  <c r="X13" i="3"/>
  <c r="Y13" i="3" s="1"/>
  <c r="U13" i="3"/>
  <c r="V13" i="3" s="1"/>
  <c r="R13" i="3"/>
  <c r="S13" i="3" s="1"/>
  <c r="O13" i="3"/>
  <c r="P13" i="3" s="1"/>
  <c r="L13" i="3"/>
  <c r="H13" i="3"/>
  <c r="J13" i="3" s="1"/>
  <c r="E13" i="3"/>
  <c r="F13" i="3" s="1"/>
  <c r="AL12" i="3"/>
  <c r="AL19" i="3" s="1"/>
  <c r="AI12" i="3"/>
  <c r="AI19" i="3" s="1"/>
  <c r="AF12" i="3"/>
  <c r="AC12" i="3"/>
  <c r="Z12" i="3"/>
  <c r="W12" i="3"/>
  <c r="W19" i="3" s="1"/>
  <c r="T12" i="3"/>
  <c r="T19" i="3" s="1"/>
  <c r="Q12" i="3"/>
  <c r="Q19" i="3" s="1"/>
  <c r="N12" i="3"/>
  <c r="N19" i="3" s="1"/>
  <c r="K12" i="3"/>
  <c r="K19" i="3" s="1"/>
  <c r="K31" i="3" s="1"/>
  <c r="K33" i="3" s="1"/>
  <c r="K36" i="3" s="1"/>
  <c r="G12" i="3"/>
  <c r="J12" i="3" s="1"/>
  <c r="D12" i="3"/>
  <c r="F12" i="3" s="1"/>
  <c r="AM11" i="3"/>
  <c r="AN11" i="3" s="1"/>
  <c r="AK11" i="3"/>
  <c r="AH11" i="3"/>
  <c r="AE11" i="3"/>
  <c r="AB11" i="3"/>
  <c r="Y11" i="3"/>
  <c r="V11" i="3"/>
  <c r="S11" i="3"/>
  <c r="P11" i="3"/>
  <c r="J11" i="3"/>
  <c r="I11" i="3"/>
  <c r="F11" i="3"/>
  <c r="K10" i="3"/>
  <c r="J10" i="3"/>
  <c r="E98" i="4" l="1"/>
  <c r="E99" i="4" s="1"/>
  <c r="P19" i="3"/>
  <c r="N31" i="3"/>
  <c r="N33" i="3" s="1"/>
  <c r="N36" i="3" s="1"/>
  <c r="AE19" i="3"/>
  <c r="AC31" i="3"/>
  <c r="AC33" i="3" s="1"/>
  <c r="AC36" i="3" s="1"/>
  <c r="Y19" i="3"/>
  <c r="W31" i="3"/>
  <c r="W33" i="3" s="1"/>
  <c r="W36" i="3" s="1"/>
  <c r="AB19" i="3"/>
  <c r="Z31" i="3"/>
  <c r="AF31" i="3"/>
  <c r="AF33" i="3" s="1"/>
  <c r="AF36" i="3" s="1"/>
  <c r="AH19" i="3"/>
  <c r="AN19" i="3"/>
  <c r="AL31" i="3"/>
  <c r="AL33" i="3" s="1"/>
  <c r="AL36" i="3" s="1"/>
  <c r="S19" i="3"/>
  <c r="Q31" i="3"/>
  <c r="Q33" i="3" s="1"/>
  <c r="Q36" i="3" s="1"/>
  <c r="V19" i="3"/>
  <c r="T31" i="3"/>
  <c r="T33" i="3" s="1"/>
  <c r="T36" i="3" s="1"/>
  <c r="AK19" i="3"/>
  <c r="AI31" i="3"/>
  <c r="AI33" i="3" s="1"/>
  <c r="AI36" i="3" s="1"/>
  <c r="AB13" i="3"/>
  <c r="AE13" i="3"/>
  <c r="D19" i="3"/>
  <c r="I13" i="3"/>
  <c r="AH13" i="3"/>
  <c r="G19" i="3"/>
  <c r="I12" i="3"/>
  <c r="I20" i="3"/>
  <c r="I26" i="3"/>
  <c r="G31" i="3" l="1"/>
  <c r="J19" i="3"/>
  <c r="I19" i="3"/>
  <c r="AB31" i="3"/>
  <c r="Z33" i="3"/>
  <c r="Z36" i="3" s="1"/>
  <c r="D31" i="3"/>
  <c r="F19" i="3"/>
  <c r="J31" i="3" l="1"/>
  <c r="I31" i="3"/>
  <c r="G33" i="3"/>
  <c r="F31" i="3"/>
  <c r="D33" i="3"/>
  <c r="D36" i="3" l="1"/>
  <c r="F36" i="3" s="1"/>
  <c r="F33" i="3"/>
  <c r="G47" i="3"/>
  <c r="I33" i="3"/>
  <c r="G36" i="3"/>
  <c r="J33" i="3"/>
  <c r="G50" i="3" l="1"/>
  <c r="J36" i="3"/>
  <c r="I36" i="3"/>
  <c r="F7" i="2" l="1"/>
  <c r="F12" i="2" s="1"/>
  <c r="E7" i="2"/>
  <c r="E12" i="2" s="1"/>
  <c r="F6" i="2"/>
  <c r="E6" i="2"/>
  <c r="D14" i="2"/>
  <c r="G11" i="2"/>
  <c r="H11" i="2" s="1"/>
  <c r="G10" i="2"/>
  <c r="H10" i="2" s="1"/>
  <c r="G8" i="2"/>
  <c r="H8" i="2" s="1"/>
  <c r="G12" i="2" l="1"/>
  <c r="H12" i="2" s="1"/>
  <c r="F13" i="2"/>
  <c r="G7" i="2"/>
  <c r="H7" i="2" s="1"/>
  <c r="G6" i="2"/>
  <c r="H6" i="2" s="1"/>
  <c r="E9" i="2"/>
  <c r="F9" i="2"/>
  <c r="G9" i="2" s="1"/>
  <c r="H9" i="2" s="1"/>
  <c r="E13" i="2"/>
  <c r="G13" i="2" l="1"/>
  <c r="H13" i="2" s="1"/>
  <c r="H14" i="2" s="1"/>
  <c r="F18" i="1"/>
  <c r="F15" i="1" l="1"/>
  <c r="F13" i="1"/>
  <c r="F11" i="1"/>
  <c r="N15" i="1"/>
  <c r="O11" i="1" l="1"/>
  <c r="D31" i="1" l="1"/>
  <c r="D35" i="1"/>
  <c r="D39" i="1"/>
  <c r="D25" i="1" l="1"/>
  <c r="F25" i="1"/>
  <c r="E25" i="1"/>
  <c r="G33" i="1" l="1"/>
  <c r="F16" i="1" l="1"/>
  <c r="F20" i="1" l="1"/>
  <c r="E20" i="1" l="1"/>
  <c r="E16" i="1"/>
  <c r="D20" i="1" l="1"/>
  <c r="D16" i="1" l="1"/>
  <c r="D9" i="1" s="1"/>
  <c r="D21" i="1" s="1"/>
  <c r="D30" i="1" l="1"/>
  <c r="D26" i="1"/>
  <c r="D24" i="1"/>
  <c r="H29" i="1"/>
  <c r="G29" i="1"/>
  <c r="H28" i="1"/>
  <c r="G28" i="1"/>
  <c r="H27" i="1"/>
  <c r="G27" i="1"/>
  <c r="E9" i="1"/>
  <c r="E21" i="1" s="1"/>
  <c r="E24" i="1" s="1"/>
  <c r="F35" i="1" l="1"/>
  <c r="F31" i="1"/>
  <c r="E31" i="1"/>
  <c r="H33" i="1"/>
  <c r="H40" i="1"/>
  <c r="G32" i="1"/>
  <c r="G22" i="1"/>
  <c r="E39" i="1"/>
  <c r="G42" i="1"/>
  <c r="G14" i="1"/>
  <c r="G38" i="1"/>
  <c r="H41" i="1"/>
  <c r="G12" i="1"/>
  <c r="G41" i="1"/>
  <c r="E30" i="1"/>
  <c r="H36" i="1"/>
  <c r="H22" i="1"/>
  <c r="H12" i="1"/>
  <c r="E35" i="1"/>
  <c r="H37" i="1"/>
  <c r="H38" i="1"/>
  <c r="F39" i="1"/>
  <c r="H10" i="1"/>
  <c r="H32" i="1"/>
  <c r="G40" i="1"/>
  <c r="H42" i="1"/>
  <c r="H14" i="1"/>
  <c r="G18" i="1"/>
  <c r="G34" i="1" l="1"/>
  <c r="G31" i="1"/>
  <c r="H35" i="1"/>
  <c r="G37" i="1"/>
  <c r="G10" i="1"/>
  <c r="H34" i="1"/>
  <c r="H31" i="1"/>
  <c r="H39" i="1"/>
  <c r="H18" i="1"/>
  <c r="E26" i="1"/>
  <c r="G36" i="1"/>
  <c r="H13" i="1"/>
  <c r="G13" i="1"/>
  <c r="H17" i="1"/>
  <c r="G17" i="1"/>
  <c r="H19" i="1"/>
  <c r="G19" i="1"/>
  <c r="H15" i="1"/>
  <c r="G15" i="1"/>
  <c r="H23" i="1"/>
  <c r="G23" i="1"/>
  <c r="H11" i="1"/>
  <c r="G11" i="1"/>
  <c r="G39" i="1" l="1"/>
  <c r="G35" i="1"/>
  <c r="G25" i="1"/>
  <c r="H25" i="1"/>
  <c r="F9" i="1" l="1"/>
  <c r="F21" i="1" s="1"/>
  <c r="F24" i="1" s="1"/>
  <c r="H20" i="1"/>
  <c r="G20" i="1"/>
  <c r="H16" i="1" l="1"/>
  <c r="G16" i="1"/>
  <c r="F30" i="1" l="1"/>
  <c r="H9" i="1"/>
  <c r="G9" i="1"/>
  <c r="G21" i="1" l="1"/>
  <c r="F26" i="1"/>
  <c r="H21" i="1"/>
  <c r="H30" i="1"/>
  <c r="G30" i="1"/>
  <c r="H26" i="1" l="1"/>
  <c r="G26" i="1"/>
  <c r="H24" i="1"/>
  <c r="G24" i="1"/>
</calcChain>
</file>

<file path=xl/sharedStrings.xml><?xml version="1.0" encoding="utf-8"?>
<sst xmlns="http://schemas.openxmlformats.org/spreadsheetml/2006/main" count="734" uniqueCount="349">
  <si>
    <t>Жадвал №1</t>
  </si>
  <si>
    <t>минг сўм, (ҚҚС сиз)</t>
  </si>
  <si>
    <t>Т/Р</t>
  </si>
  <si>
    <t>Кўрсатгичлар</t>
  </si>
  <si>
    <t>Ўлчов бирлиги</t>
  </si>
  <si>
    <t xml:space="preserve">«ЎЗБЕК ГЕОЛОГИЯ ҚИДИРУВ» АЖ </t>
  </si>
  <si>
    <t>Ўтган йилга нисбатан ўсиш, %</t>
  </si>
  <si>
    <t>1.</t>
  </si>
  <si>
    <t>Барча молиялаштириш манбалари ҳисобидан бажарилган ГҚИ – жами</t>
  </si>
  <si>
    <t>м.сўм</t>
  </si>
  <si>
    <t>2.</t>
  </si>
  <si>
    <t>Давлат бюджети маблағлари ҳисобидан бажарилган ГҚИ</t>
  </si>
  <si>
    <t>2.1.</t>
  </si>
  <si>
    <t>жумладан: пудрат усулида (ташқи)</t>
  </si>
  <si>
    <t>3.</t>
  </si>
  <si>
    <t>НКМК шартномалари маблағлари ҳисобидан бажарилган ГҚИ</t>
  </si>
  <si>
    <t>3.1.</t>
  </si>
  <si>
    <t>4.</t>
  </si>
  <si>
    <t>Махсус ҳисоб ва ОКМК маблағлари ҳисобидан бажарилган ГҚИ</t>
  </si>
  <si>
    <t>4.1.</t>
  </si>
  <si>
    <t xml:space="preserve">Буюртмачилар маблағлари ҳисобидан бажарилган ГҚИ </t>
  </si>
  <si>
    <t>5.1.</t>
  </si>
  <si>
    <t>5.4.</t>
  </si>
  <si>
    <t xml:space="preserve">ташқи шартномалар </t>
  </si>
  <si>
    <t>5.5.</t>
  </si>
  <si>
    <t>6.</t>
  </si>
  <si>
    <t>Пудрат усулида бажарилган ишлар – жами</t>
  </si>
  <si>
    <t>7.</t>
  </si>
  <si>
    <t>Ўз кучи билан бажарилган ишлар</t>
  </si>
  <si>
    <t>8.</t>
  </si>
  <si>
    <t>Ходимларнинг ўртача сони</t>
  </si>
  <si>
    <t xml:space="preserve">киши </t>
  </si>
  <si>
    <t>9.</t>
  </si>
  <si>
    <t>Иш ҳақи фонди</t>
  </si>
  <si>
    <t>10.</t>
  </si>
  <si>
    <t xml:space="preserve">Ўртача ишлаб чиқариш самарадорлиги </t>
  </si>
  <si>
    <t>11.</t>
  </si>
  <si>
    <t xml:space="preserve">Ўртача ойлик иш ҳақи </t>
  </si>
  <si>
    <t>12.</t>
  </si>
  <si>
    <t>Иш ҳақи фондининг улуши</t>
  </si>
  <si>
    <t>%</t>
  </si>
  <si>
    <t>13.</t>
  </si>
  <si>
    <t>Дебитор қарздорлик</t>
  </si>
  <si>
    <t>14.</t>
  </si>
  <si>
    <t>Кредитор қарздорлик</t>
  </si>
  <si>
    <t>15.</t>
  </si>
  <si>
    <t>Соф фойда</t>
  </si>
  <si>
    <t>16.</t>
  </si>
  <si>
    <t>Соф фойданинг улуши</t>
  </si>
  <si>
    <t>17.</t>
  </si>
  <si>
    <t>Бурғулаш ишлари – жами</t>
  </si>
  <si>
    <t>п.м</t>
  </si>
  <si>
    <t>17.1.</t>
  </si>
  <si>
    <t>жумладан: бюджет</t>
  </si>
  <si>
    <t>17.2.</t>
  </si>
  <si>
    <t xml:space="preserve">НКМК шартномалари </t>
  </si>
  <si>
    <t>17.3.</t>
  </si>
  <si>
    <t xml:space="preserve">ОКМК ва махсус ҳисоб </t>
  </si>
  <si>
    <t>18.</t>
  </si>
  <si>
    <t xml:space="preserve">Ер ости тоғ ишлари – жами  </t>
  </si>
  <si>
    <t>18.1.</t>
  </si>
  <si>
    <t>18.2.</t>
  </si>
  <si>
    <t>18.3.</t>
  </si>
  <si>
    <t>19.</t>
  </si>
  <si>
    <t xml:space="preserve">Ер усти тоғ ишлари (канава, траншея, расчистка) – жами </t>
  </si>
  <si>
    <t>куб.м</t>
  </si>
  <si>
    <t>19.1.</t>
  </si>
  <si>
    <t>19.2.</t>
  </si>
  <si>
    <t>19.3.</t>
  </si>
  <si>
    <t xml:space="preserve">"Ўзбек геология қидирув" АЖ бошқарув раиси </t>
  </si>
  <si>
    <t>Алимов Ш.П.</t>
  </si>
  <si>
    <t>Раджапов Р.В.</t>
  </si>
  <si>
    <t xml:space="preserve">Бош бухгалтер </t>
  </si>
  <si>
    <t>Шигапов Э.А.</t>
  </si>
  <si>
    <t xml:space="preserve">Иқтисодиёт ва молиявий назорат бўлими бошлиғи </t>
  </si>
  <si>
    <t xml:space="preserve">Бизнес-режа бажарилиши, % </t>
  </si>
  <si>
    <t xml:space="preserve">Геология вазирлиги ташкилотлари билан </t>
  </si>
  <si>
    <t>Эргашев Н.Р.</t>
  </si>
  <si>
    <t xml:space="preserve">Бошқарув раиси ўринбосари, молиявий директор </t>
  </si>
  <si>
    <t>бизнес-режа ҳамда 2024 йил мос даври билан солиштирилиши</t>
  </si>
  <si>
    <t>2024 йил 
мос даври 
(ҳақиқатда)</t>
  </si>
  <si>
    <t xml:space="preserve">«Ўзбек геология қидирув» АЖ 2025 йил январ-март ойлари асосий техник-иқтисодий кўрсаткичларининг </t>
  </si>
  <si>
    <t>2025 йил 
январ-март
бизнес режаси</t>
  </si>
  <si>
    <t>2024 йил 
январ-март
(кутилаётган)</t>
  </si>
  <si>
    <t>Қизилқум</t>
  </si>
  <si>
    <t>Самарқанд</t>
  </si>
  <si>
    <t>Ҳисор</t>
  </si>
  <si>
    <t>Тошкент</t>
  </si>
  <si>
    <t>Регионал</t>
  </si>
  <si>
    <t xml:space="preserve">самарадорликнинг муҳим кўрсаткичлари </t>
  </si>
  <si>
    <t>ҲИСОБИ</t>
  </si>
  <si>
    <t xml:space="preserve">Кўрсатгичлар номи </t>
  </si>
  <si>
    <t>Меъёр</t>
  </si>
  <si>
    <t>Солиштирма оғирлик</t>
  </si>
  <si>
    <t>Ҳисобот даврида кўрсатгичлар прогнози</t>
  </si>
  <si>
    <t>Ҳисобот даврида кўрсатгичлар ҳақиқатда</t>
  </si>
  <si>
    <t xml:space="preserve">Бажарилиш фоизи </t>
  </si>
  <si>
    <t>СМК</t>
  </si>
  <si>
    <t>Соф тушум прогноз кўрсаткичининг бажарилиши 
(минг сўмда)</t>
  </si>
  <si>
    <t>-</t>
  </si>
  <si>
    <t>Соф фойда (зарар) прогноз кўрсаткичининг бажарилиши 
(минг сўмда)</t>
  </si>
  <si>
    <t xml:space="preserve">Активлар рентабеллиги, К &gt; 0,05 </t>
  </si>
  <si>
    <t>&gt; 0,05</t>
  </si>
  <si>
    <t xml:space="preserve">Ишлаб чиқариш қувватидан фойдаланиш коэффициенти, 
К &gt; 0,5  </t>
  </si>
  <si>
    <t>&gt; 0,5</t>
  </si>
  <si>
    <t>Қоплаш коэффициенти, К &gt; 1,25 (тўлов қобилияти)</t>
  </si>
  <si>
    <t>&gt; 1,25</t>
  </si>
  <si>
    <t xml:space="preserve">Молиявий мустақиллик коэффициенти, К &gt; 1  </t>
  </si>
  <si>
    <t>&gt; 1</t>
  </si>
  <si>
    <t>Дивиденд ҳисобланиши</t>
  </si>
  <si>
    <t>Акциядор инвестициясининг рентабеллиги (TSR – Total Shareholders Return)</t>
  </si>
  <si>
    <t>ЖАМИ:</t>
  </si>
  <si>
    <t xml:space="preserve">Бошқарув раиси ўринбосари, молиявий ишлар бўйича директор </t>
  </si>
  <si>
    <t>"Ўзбек геология қидирув" АЖнинг 2025 йил 1 чорак учун</t>
  </si>
  <si>
    <t>Форма №2 за   2025 год.</t>
  </si>
  <si>
    <t>Наименование показателя</t>
  </si>
  <si>
    <t>Код строки</t>
  </si>
  <si>
    <t>За соответствующий период прошлого года</t>
  </si>
  <si>
    <t>УЗБЕКГЕОЛОГИЯ КИДИРУВ АЖ</t>
  </si>
  <si>
    <t>АЖ</t>
  </si>
  <si>
    <t>КИЗИЛКУМ ЦГРЭ</t>
  </si>
  <si>
    <t>САМАРКАНД ЦГРЭ</t>
  </si>
  <si>
    <t>ТОШКЕНТ ЦГРЭ</t>
  </si>
  <si>
    <t>ХИСОР ЦГРЭ</t>
  </si>
  <si>
    <t>МАРКАЗИЙ ИШЛАБ ЧИКАРИШ БАЗАСИ</t>
  </si>
  <si>
    <t>МАРКАЗИЙ ЛАБАРАТОРИЯ</t>
  </si>
  <si>
    <t>КОМПЛЕКС ГЕОЛОГИЯ ГЕОФИЗИКА ПАРТИЯСИ</t>
  </si>
  <si>
    <t>ГЕОБУРХИЗМАТ</t>
  </si>
  <si>
    <t>Доходы (прибыль)</t>
  </si>
  <si>
    <t>Расходы (убытки)</t>
  </si>
  <si>
    <t>Чистая выручка от реализации продукции (товаров, работ и услуг)</t>
  </si>
  <si>
    <t>010</t>
  </si>
  <si>
    <t>x</t>
  </si>
  <si>
    <t>Себестоимость реализованной продукции (товаров, работ и услуг)</t>
  </si>
  <si>
    <t>020</t>
  </si>
  <si>
    <t>Валовая прибыль (убыток) от реализации продукции (товаров, работ и услуг) (стр.010-020)</t>
  </si>
  <si>
    <t>030</t>
  </si>
  <si>
    <t>0</t>
  </si>
  <si>
    <t>Расходы периода, всего (стр.050+060+070+080), в том числе:</t>
  </si>
  <si>
    <t>040</t>
  </si>
  <si>
    <t>Расходы по реализации</t>
  </si>
  <si>
    <t>050</t>
  </si>
  <si>
    <t>Административные расходы</t>
  </si>
  <si>
    <t>060</t>
  </si>
  <si>
    <t>Прочие операционные расходы</t>
  </si>
  <si>
    <t>070</t>
  </si>
  <si>
    <t>Расходы отчетного периода, вычитаемые из налогооблагаемой прибыли в будущем</t>
  </si>
  <si>
    <t>080</t>
  </si>
  <si>
    <t>Прочие доходы от основной деятельности</t>
  </si>
  <si>
    <t>090</t>
  </si>
  <si>
    <t>Прибыль (убыток) от основной деятельности (стр.030-040+090)</t>
  </si>
  <si>
    <t>100</t>
  </si>
  <si>
    <t>Доходы от финансовой деятельности, всего (стр.120+130+140+150+160), в том числе:</t>
  </si>
  <si>
    <t>110</t>
  </si>
  <si>
    <t>Доходы в виде дивидендов</t>
  </si>
  <si>
    <t>120</t>
  </si>
  <si>
    <t>Доходы в виде процентов</t>
  </si>
  <si>
    <t>130</t>
  </si>
  <si>
    <t>Доходы от финансовой аренды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</si>
  <si>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</si>
  <si>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</si>
  <si>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</si>
  <si>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</si>
  <si>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</si>
  <si>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Расходы по финансовой деятельности (стр.180+190+200+210), в том числе:</t>
  </si>
  <si>
    <t>170</t>
  </si>
  <si>
    <t>Расходы в виде процентов</t>
  </si>
  <si>
    <t>180</t>
  </si>
  <si>
    <t>Расходы в виде процентов по финансовой аренде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</si>
  <si>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</si>
  <si>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</si>
  <si>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</si>
  <si>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</si>
  <si>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</si>
  <si>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Прибыль (убыток) от общехозяйственной деятельности (стр.100+110-170)</t>
  </si>
  <si>
    <t>220</t>
  </si>
  <si>
    <t>Чрезвычайные прибыли и убытки</t>
  </si>
  <si>
    <t>230</t>
  </si>
  <si>
    <t>Прибыль (убыток) до уплаты налога на прибыль (стр.220+/-230)</t>
  </si>
  <si>
    <t>240</t>
  </si>
  <si>
    <t>Налог на прибыль</t>
  </si>
  <si>
    <t>250</t>
  </si>
  <si>
    <t>Прочие налоги и другие обязательные платежи от прибыли</t>
  </si>
  <si>
    <t>260</t>
  </si>
  <si>
    <t>Чистая прибыль (убыток) отчетного периода (стр.240-250-260)</t>
  </si>
  <si>
    <t>270</t>
  </si>
  <si>
    <t>Руководитель</t>
  </si>
  <si>
    <t>Главный бухгалтер</t>
  </si>
  <si>
    <t>lc=R99C6</t>
  </si>
  <si>
    <t>Бухгалтерия баланси №1 -сонли шакл</t>
  </si>
  <si>
    <t>Ўлчов бирлиги, минг сўм</t>
  </si>
  <si>
    <t>Кўрсаткичлар номи</t>
  </si>
  <si>
    <t>Сатр коди</t>
  </si>
  <si>
    <t>Ҳисобот даври бошига</t>
  </si>
  <si>
    <t>Ҳисобот даври охирига</t>
  </si>
  <si>
    <t>Актив</t>
  </si>
  <si>
    <t/>
  </si>
  <si>
    <t>I. Узоқ муддатли активлар</t>
  </si>
  <si>
    <t>Асосий воситалар:</t>
  </si>
  <si>
    <t>Бошланғич (қайта тиклаш) қиймати (0100, 0300)</t>
  </si>
  <si>
    <t>Эскириш суммаси (0200)</t>
  </si>
  <si>
    <t>011</t>
  </si>
  <si>
    <t>қолдиқ (баланс) қиймати (сатр. 010 - 011)</t>
  </si>
  <si>
    <t>012</t>
  </si>
  <si>
    <t>Номоддий активлар:</t>
  </si>
  <si>
    <t>Бошланғич қиймати (0400)</t>
  </si>
  <si>
    <t>Амортизация суммаси (0500)</t>
  </si>
  <si>
    <t>021</t>
  </si>
  <si>
    <t>қолдиқ (баланс) қиймати (сатр. 020 - 021)</t>
  </si>
  <si>
    <t>022</t>
  </si>
  <si>
    <t>Узоқ муддатли инвестициялар, жами (сатр.040+050+060+070+080)</t>
  </si>
  <si>
    <t>Қимматли қоғозлар (0610)</t>
  </si>
  <si>
    <t>Шўъба хўжалик жамиятларига инвестициялар (0620)</t>
  </si>
  <si>
    <t>қарам хўжалик жамиятларига инвестициялар (0630)</t>
  </si>
  <si>
    <t>Чет эл капитали мавжуд бўлган корхоналарга инвестициялар (0640)</t>
  </si>
  <si>
    <t>Бошқа узоқ муддатли инвестициялар (0690)</t>
  </si>
  <si>
    <t>Ўрнатиладиган асбоб-ускуналар (0700)</t>
  </si>
  <si>
    <t>Капитал қўйилмалар (0800)</t>
  </si>
  <si>
    <t>Узоқ муддатли дебиторлик қарзлари (0910,0920,0930,0940)</t>
  </si>
  <si>
    <t>Долгосрочные отсроченные расходы (0950, 0960, 0990)</t>
  </si>
  <si>
    <t>I бўлим бўйича жами (сатр.012+022+030+090+100+110+120)</t>
  </si>
  <si>
    <t>II. Жорий активлар</t>
  </si>
  <si>
    <t>Товар-моддий захиралари, жами (сатр.150+160+170+180)</t>
  </si>
  <si>
    <t>Ишлаб чиқариш захиралари (1000, 1100, 1500, 1600)</t>
  </si>
  <si>
    <t>Тугалланмаган ишлаб чиқариш (2000, 2100, 2300, 2700)</t>
  </si>
  <si>
    <t>Тайёр маҳсулот (2800)</t>
  </si>
  <si>
    <t>Товарлар (2900 дан 2980 нинг айирмаси)</t>
  </si>
  <si>
    <t>Келгуси давр харажатлари (3100)</t>
  </si>
  <si>
    <t>Кечиктирилган харажатлар (3200)</t>
  </si>
  <si>
    <t>Дебиторлар, жами (сатр. 220+240+250+260+270+280+290+300+310)</t>
  </si>
  <si>
    <t>шундан: муддати ўтган*</t>
  </si>
  <si>
    <t>211</t>
  </si>
  <si>
    <t>Харидор ва буюртмачиларнинг қарзи (4000 дан 4900 нинг айирмаси)</t>
  </si>
  <si>
    <t>Ажратилган бўлинмаларнинг қарзи (4110)</t>
  </si>
  <si>
    <t>Шўъба ва қарам хўжалик жамиятларнинг қарзи (4120)</t>
  </si>
  <si>
    <t>Ходимларга берилган бўнаклар (4200)</t>
  </si>
  <si>
    <t>Мол етказиб берувчилар ва пудратчиларга берилган бўнаклар (4300)</t>
  </si>
  <si>
    <t>Бюджетга солиқлар ва бошқа мажбурий тўловлар бўйича бўнак тўловлари (4400)</t>
  </si>
  <si>
    <t>Мақсадли давлат жамғармалари ва суғурталар бўйича бўнак тўловлари (4500)</t>
  </si>
  <si>
    <t>280</t>
  </si>
  <si>
    <t>Таъсисчиларнинг устав капиталига улушлар бўйича қарзи (4600)</t>
  </si>
  <si>
    <t>290</t>
  </si>
  <si>
    <t>Ходимларнинг бошқа операциялар бўйича қарзи (4700)</t>
  </si>
  <si>
    <t>300</t>
  </si>
  <si>
    <t>Бошқа дебиторлик қарзлари (4800)</t>
  </si>
  <si>
    <t>310</t>
  </si>
  <si>
    <t>Пул маблағлари, жами (сатр.330+340+350+360), шу жумладан:</t>
  </si>
  <si>
    <t>320</t>
  </si>
  <si>
    <t>Кассадаги пул маблағлари (5000)</t>
  </si>
  <si>
    <t>330</t>
  </si>
  <si>
    <t>Ҳисоб-китоб счётидаги пул маблағлари (5100)</t>
  </si>
  <si>
    <t>340</t>
  </si>
  <si>
    <t>Чет эл валютасидаги пул маблағлари (5200)</t>
  </si>
  <si>
    <t>350</t>
  </si>
  <si>
    <t>Бошқа пул маблағлари ва эквивалентлари (5500, 5600, 5700)</t>
  </si>
  <si>
    <t>360</t>
  </si>
  <si>
    <t>қисқа муддатли инвестициялар (5800)</t>
  </si>
  <si>
    <t>370</t>
  </si>
  <si>
    <t>Бошқа жорий активлар (5900)</t>
  </si>
  <si>
    <t>380</t>
  </si>
  <si>
    <t>II бўлим бўйича жами (сатр. 140+190+200+210+320+370+380)</t>
  </si>
  <si>
    <t>390</t>
  </si>
  <si>
    <t>Баланс активи бўйича жами (сатр.130+390)</t>
  </si>
  <si>
    <t>400</t>
  </si>
  <si>
    <t>Пассив</t>
  </si>
  <si>
    <t>I. Ўз маблағлари манбалари</t>
  </si>
  <si>
    <t>Устав капитали (8300)</t>
  </si>
  <si>
    <t>410</t>
  </si>
  <si>
    <t>Қўшилган капитал (8400)</t>
  </si>
  <si>
    <t>420</t>
  </si>
  <si>
    <t>Резерв капитали (8500)</t>
  </si>
  <si>
    <t>430</t>
  </si>
  <si>
    <t>Сотиб олинган хусусий акциялар (8600)</t>
  </si>
  <si>
    <t>440</t>
  </si>
  <si>
    <t>Тақсимланмаган фойда (қопланмаган зарар) (8700)</t>
  </si>
  <si>
    <t>450</t>
  </si>
  <si>
    <t>Мақсадли тушумлар (8800)</t>
  </si>
  <si>
    <t>460</t>
  </si>
  <si>
    <t>Келгуси давр харажатлари ва тўловлари учун захиралар (8900)</t>
  </si>
  <si>
    <t>470</t>
  </si>
  <si>
    <t>I бўлим бўйича жами (сатр.410+420+430-440+450+460+470)</t>
  </si>
  <si>
    <t>480</t>
  </si>
  <si>
    <t>II. Мажбуриятлар</t>
  </si>
  <si>
    <t>Узоқ муддатли мажбуриятлар, жами (сатр.500+520+530+540+550+560+570+580+590)</t>
  </si>
  <si>
    <t>490</t>
  </si>
  <si>
    <t>шу жумладан: узоқ муддатли кредиторлик қарзлари (сатр.500+520+540+560+590)</t>
  </si>
  <si>
    <t>491</t>
  </si>
  <si>
    <t>Мол етказиб берувчилар ва пудратчиларга узоқ муддатли қарз (7000)</t>
  </si>
  <si>
    <t>500</t>
  </si>
  <si>
    <t>Ажратилган бўлинмаларга узоқ муддатли қарз (7110)</t>
  </si>
  <si>
    <t>510</t>
  </si>
  <si>
    <t>Шўъба ва қарам хўжалик жамиятларга узоқ муддатли қарз (7120)</t>
  </si>
  <si>
    <t>520</t>
  </si>
  <si>
    <t>Узоқ муддатли кечиктирилган даромадлар (7210, 7220, 7230)</t>
  </si>
  <si>
    <t>530</t>
  </si>
  <si>
    <t>Солиқ ва бошқа мажбурий тўловлар бўйича узоқ муддатли кечиктирилган мажбуриятлар (7240)</t>
  </si>
  <si>
    <t>540</t>
  </si>
  <si>
    <t>Бошқа узоқ муддатли кечиктирилган мажбуриятлар (7250, 7290)</t>
  </si>
  <si>
    <t>550</t>
  </si>
  <si>
    <t>Харидорлар ва буюртмачилардан олинган бўнаклар (7300)</t>
  </si>
  <si>
    <t>560</t>
  </si>
  <si>
    <t>Узоқ муддатли банк кредитлари (7810)</t>
  </si>
  <si>
    <t>570</t>
  </si>
  <si>
    <t>Узоқ муддатли қарзлар (7820, 7830, 7840)</t>
  </si>
  <si>
    <t>580</t>
  </si>
  <si>
    <t>Бошқа узоқ муддатли кредиторлик қарзлар (7900)</t>
  </si>
  <si>
    <t>590</t>
  </si>
  <si>
    <t>Жорий мажбуриятлар, жами (сатр.610+630+640+650+660+670+680+690+700+710+ +720+730+740+750+760)</t>
  </si>
  <si>
    <t>600</t>
  </si>
  <si>
    <t>шу жумладан: жорий кредиторлик қарзлари (сатр.610+630+650+670+680+690+ +700+710+720+760)</t>
  </si>
  <si>
    <t>601</t>
  </si>
  <si>
    <t>шундан: муддати ўтган жорий кредиторлик қарзлари*</t>
  </si>
  <si>
    <t>602</t>
  </si>
  <si>
    <t>Мол етказиб берувчилар ва пудратчиларга қарз (6000)</t>
  </si>
  <si>
    <t>610</t>
  </si>
  <si>
    <t>Ажратилган бўлинмаларга қарз (6110)</t>
  </si>
  <si>
    <t>620</t>
  </si>
  <si>
    <t>Шўъба ва қарам хўжалик жамиятларга қарз (6120)</t>
  </si>
  <si>
    <t>630</t>
  </si>
  <si>
    <t>Кечиктирилган даромадлар (6210, 6220, 6230)</t>
  </si>
  <si>
    <t>640</t>
  </si>
  <si>
    <t>Солиқ ва бошқа мажбурий тўловлар бўйича кечиктирилган мажбуриятлар (6240)</t>
  </si>
  <si>
    <t>650</t>
  </si>
  <si>
    <t>Бошқа кечиктирилган мажбуриятлар (6250, 6290)</t>
  </si>
  <si>
    <t>660</t>
  </si>
  <si>
    <t>Олинган бўнаклар (6300)</t>
  </si>
  <si>
    <t>670</t>
  </si>
  <si>
    <t>Бюджетга тўловлар бўйича қарз (6400)</t>
  </si>
  <si>
    <t>680</t>
  </si>
  <si>
    <t>Суғурталар бўйича қарз (6510)</t>
  </si>
  <si>
    <t>690</t>
  </si>
  <si>
    <t>Мақсадли давлат жамғармаларига тўловлар бўйича қарз (6520)</t>
  </si>
  <si>
    <t>700</t>
  </si>
  <si>
    <t>Таъсисчиларга бўлган қарзлар (6600)</t>
  </si>
  <si>
    <t>710</t>
  </si>
  <si>
    <t>Меҳнатга ҳақ тўлаш бўйича қарз (6700)</t>
  </si>
  <si>
    <t>720</t>
  </si>
  <si>
    <t>Қисқа муддатли банк кредитлари (6810)</t>
  </si>
  <si>
    <t>730</t>
  </si>
  <si>
    <t>Қисқа муддатли қарзлар (6820, 6830, 6840)</t>
  </si>
  <si>
    <t>740</t>
  </si>
  <si>
    <t>Узоқ муддатли мажбуриятларнинг жорий қисми (6950)</t>
  </si>
  <si>
    <t>750</t>
  </si>
  <si>
    <t>Бошқа кредиторлик қарзлар (6950 дан ташқари 6900)</t>
  </si>
  <si>
    <t>760</t>
  </si>
  <si>
    <t>II бўлим бўйича жами (сатр.490+600)</t>
  </si>
  <si>
    <t>770</t>
  </si>
  <si>
    <t>Баланс пассиви бўйича жами (сатр.480+770)</t>
  </si>
  <si>
    <t>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</si>
</sst>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-* #,##0.000_-;\-* #,##0.000_-;_-* &quot;-&quot;??_-;_-@_-"/>
    <numFmt numFmtId="165" formatCode="#,##0.000"/>
    <numFmt numFmtId="166" formatCode="0.0%"/>
    <numFmt numFmtId="167" formatCode="#,##0.0"/>
    <numFmt numFmtId="168" formatCode="_-* #,##0.00\ _с_ў_м_-;\-* #,##0.00\ _с_ў_м_-;_-* &quot;-&quot;??\ _с_ў_м_-;_-@_-"/>
    <numFmt numFmtId="169" formatCode="_-* #,##0.00\ _₽_-;\-* #,##0.00\ _₽_-;_-* &quot;-&quot;??\ _₽_-;_-@_-"/>
    <numFmt numFmtId="170" formatCode="#,##0.00000"/>
    <numFmt numFmtId="171" formatCode="0.0"/>
    <numFmt numFmtId="172" formatCode="#,##0.0__;[Red]\-#,##0.0__;"/>
    <numFmt numFmtId="173" formatCode="0.000"/>
    <numFmt numFmtId="174" formatCode="#,##0.00__;[Red]\-#,##0.00__;"/>
    <numFmt numFmtId="175" formatCode="#,##0_ ;[Red]\-#,##0\ "/>
    <numFmt numFmtId="176" formatCode="#,##0.00_ ;[Red]\-#,##0.00\ "/>
    <numFmt numFmtId="177" formatCode="#,##0.000_ ;[Red]\-#,##0.000\ "/>
  </numFmts>
  <fonts count="32">
    <font>
      <sz val="10"/>
      <name val="Arial Cyr"/>
      <charset val="186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186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  <charset val="204"/>
    </font>
    <font>
      <b/>
      <sz val="9"/>
      <color rgb="FFFF0000"/>
      <name val="Times New Roman"/>
      <family val="1"/>
      <charset val="204"/>
    </font>
    <font>
      <sz val="10"/>
      <name val="Arial"/>
      <family val="2"/>
    </font>
    <font>
      <b/>
      <sz val="10"/>
      <color rgb="FFFF0000"/>
      <name val="Arial"/>
      <family val="2"/>
      <charset val="204"/>
    </font>
    <font>
      <sz val="9"/>
      <color rgb="FF333333"/>
      <name val="Arial"/>
      <family val="2"/>
      <charset val="204"/>
    </font>
    <font>
      <sz val="8.8000000000000007"/>
      <color rgb="FF333333"/>
      <name val="Arial"/>
      <family val="2"/>
      <charset val="204"/>
    </font>
    <font>
      <sz val="10.65"/>
      <color rgb="FF333333"/>
      <name val="Arial"/>
      <family val="2"/>
      <charset val="204"/>
    </font>
    <font>
      <b/>
      <sz val="10"/>
      <color indexed="21"/>
      <name val="Arial"/>
      <family val="2"/>
      <charset val="204"/>
    </font>
    <font>
      <sz val="10"/>
      <color indexed="9"/>
      <name val="Arial"/>
      <family val="2"/>
      <charset val="204"/>
    </font>
    <font>
      <b/>
      <sz val="12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2" fillId="0" borderId="0"/>
    <xf numFmtId="169" fontId="12" fillId="0" borderId="0" applyFont="0" applyFill="0" applyBorder="0" applyAlignment="0" applyProtection="0"/>
    <xf numFmtId="0" fontId="13" fillId="0" borderId="0"/>
    <xf numFmtId="0" fontId="14" fillId="0" borderId="0"/>
    <xf numFmtId="9" fontId="12" fillId="0" borderId="0" applyFon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17" fillId="0" borderId="0"/>
    <xf numFmtId="0" fontId="13" fillId="0" borderId="0"/>
    <xf numFmtId="0" fontId="1" fillId="0" borderId="0"/>
    <xf numFmtId="0" fontId="20" fillId="0" borderId="0"/>
    <xf numFmtId="0" fontId="20" fillId="0" borderId="0"/>
    <xf numFmtId="0" fontId="20" fillId="0" borderId="0"/>
  </cellStyleXfs>
  <cellXfs count="227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5" fillId="0" borderId="0" xfId="1" applyNumberFormat="1" applyFont="1" applyFill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6" fontId="6" fillId="0" borderId="0" xfId="2" applyNumberFormat="1" applyFont="1" applyFill="1" applyAlignment="1">
      <alignment vertical="center"/>
    </xf>
    <xf numFmtId="0" fontId="9" fillId="0" borderId="0" xfId="0" applyFont="1" applyAlignment="1">
      <alignment vertical="top" wrapText="1"/>
    </xf>
    <xf numFmtId="165" fontId="9" fillId="0" borderId="0" xfId="0" applyNumberFormat="1" applyFont="1" applyAlignment="1">
      <alignment vertical="top" wrapText="1"/>
    </xf>
    <xf numFmtId="165" fontId="10" fillId="0" borderId="0" xfId="0" applyNumberFormat="1" applyFont="1" applyAlignment="1">
      <alignment vertical="top" wrapText="1"/>
    </xf>
    <xf numFmtId="165" fontId="7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7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/>
    </xf>
    <xf numFmtId="166" fontId="7" fillId="0" borderId="1" xfId="3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167" fontId="7" fillId="0" borderId="1" xfId="3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66" fontId="6" fillId="3" borderId="1" xfId="3" applyNumberFormat="1" applyFont="1" applyFill="1" applyBorder="1" applyAlignment="1">
      <alignment horizontal="center" vertical="center"/>
    </xf>
    <xf numFmtId="167" fontId="6" fillId="0" borderId="1" xfId="3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167" fontId="7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indent="5"/>
    </xf>
    <xf numFmtId="0" fontId="11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" fontId="11" fillId="3" borderId="1" xfId="0" applyNumberFormat="1" applyFont="1" applyFill="1" applyBorder="1" applyAlignment="1">
      <alignment horizontal="center" vertical="center"/>
    </xf>
    <xf numFmtId="16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0" fontId="5" fillId="0" borderId="0" xfId="2" applyNumberFormat="1" applyFont="1" applyAlignment="1">
      <alignment vertical="center"/>
    </xf>
    <xf numFmtId="170" fontId="9" fillId="0" borderId="0" xfId="0" applyNumberFormat="1" applyFont="1" applyAlignment="1">
      <alignment vertical="top" wrapText="1"/>
    </xf>
    <xf numFmtId="0" fontId="8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165" fontId="8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1" fontId="8" fillId="0" borderId="1" xfId="2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72" fontId="8" fillId="0" borderId="1" xfId="0" applyNumberFormat="1" applyFont="1" applyBorder="1" applyAlignment="1">
      <alignment horizontal="center" vertical="center" wrapText="1"/>
    </xf>
    <xf numFmtId="173" fontId="8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1" fontId="11" fillId="0" borderId="1" xfId="0" applyNumberFormat="1" applyFont="1" applyBorder="1" applyAlignment="1">
      <alignment horizontal="center" vertical="center"/>
    </xf>
    <xf numFmtId="172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wrapText="1"/>
    </xf>
    <xf numFmtId="2" fontId="8" fillId="0" borderId="0" xfId="0" applyNumberFormat="1" applyFont="1" applyAlignment="1">
      <alignment horizontal="center" wrapText="1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0" xfId="0" applyNumberFormat="1" applyFont="1" applyAlignment="1">
      <alignment horizontal="center"/>
    </xf>
    <xf numFmtId="172" fontId="8" fillId="0" borderId="0" xfId="0" applyNumberFormat="1" applyFont="1" applyAlignment="1">
      <alignment horizontal="center" vertical="center" wrapText="1"/>
    </xf>
    <xf numFmtId="17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2" borderId="0" xfId="5" applyFont="1" applyFill="1" applyAlignment="1">
      <alignment vertical="center"/>
    </xf>
    <xf numFmtId="0" fontId="18" fillId="2" borderId="0" xfId="5" applyFont="1" applyFill="1" applyAlignment="1">
      <alignment horizontal="center" vertical="center"/>
    </xf>
    <xf numFmtId="0" fontId="13" fillId="2" borderId="0" xfId="5" applyFont="1" applyFill="1" applyAlignment="1">
      <alignment horizontal="center" vertical="center"/>
    </xf>
    <xf numFmtId="0" fontId="13" fillId="2" borderId="3" xfId="5" applyFont="1" applyFill="1" applyBorder="1" applyAlignment="1">
      <alignment horizontal="center" vertical="center"/>
    </xf>
    <xf numFmtId="175" fontId="19" fillId="2" borderId="0" xfId="5" applyNumberFormat="1" applyFont="1" applyFill="1" applyAlignment="1">
      <alignment horizontal="center" vertical="center"/>
    </xf>
    <xf numFmtId="171" fontId="13" fillId="2" borderId="0" xfId="5" applyNumberFormat="1" applyFont="1" applyFill="1" applyAlignment="1">
      <alignment vertical="center"/>
    </xf>
    <xf numFmtId="0" fontId="13" fillId="2" borderId="4" xfId="5" applyFont="1" applyFill="1" applyBorder="1" applyAlignment="1">
      <alignment horizontal="center" vertical="center" wrapText="1"/>
    </xf>
    <xf numFmtId="0" fontId="13" fillId="2" borderId="6" xfId="5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0" fontId="13" fillId="2" borderId="1" xfId="5" applyFont="1" applyFill="1" applyBorder="1" applyAlignment="1">
      <alignment vertical="center"/>
    </xf>
    <xf numFmtId="0" fontId="13" fillId="2" borderId="8" xfId="5" applyFont="1" applyFill="1" applyBorder="1" applyAlignment="1">
      <alignment horizontal="left" vertical="center" wrapText="1"/>
    </xf>
    <xf numFmtId="49" fontId="13" fillId="2" borderId="1" xfId="5" applyNumberFormat="1" applyFont="1" applyFill="1" applyBorder="1" applyAlignment="1">
      <alignment horizontal="center" vertical="center"/>
    </xf>
    <xf numFmtId="175" fontId="13" fillId="6" borderId="2" xfId="5" applyNumberFormat="1" applyFont="1" applyFill="1" applyBorder="1" applyAlignment="1" applyProtection="1">
      <alignment horizontal="right" vertical="center"/>
      <protection locked="0"/>
    </xf>
    <xf numFmtId="175" fontId="13" fillId="2" borderId="2" xfId="5" applyNumberFormat="1" applyFont="1" applyFill="1" applyBorder="1" applyAlignment="1">
      <alignment horizontal="center" vertical="center"/>
    </xf>
    <xf numFmtId="175" fontId="13" fillId="4" borderId="2" xfId="5" applyNumberFormat="1" applyFont="1" applyFill="1" applyBorder="1" applyAlignment="1" applyProtection="1">
      <alignment horizontal="right" vertical="center"/>
      <protection locked="0"/>
    </xf>
    <xf numFmtId="175" fontId="13" fillId="2" borderId="1" xfId="5" applyNumberFormat="1" applyFont="1" applyFill="1" applyBorder="1" applyAlignment="1">
      <alignment horizontal="center" vertical="center"/>
    </xf>
    <xf numFmtId="9" fontId="13" fillId="2" borderId="2" xfId="9" applyFont="1" applyFill="1" applyBorder="1" applyAlignment="1" applyProtection="1">
      <alignment horizontal="center" vertical="center"/>
    </xf>
    <xf numFmtId="175" fontId="19" fillId="4" borderId="2" xfId="5" applyNumberFormat="1" applyFont="1" applyFill="1" applyBorder="1" applyAlignment="1" applyProtection="1">
      <alignment horizontal="right" vertical="center"/>
      <protection locked="0"/>
    </xf>
    <xf numFmtId="176" fontId="13" fillId="2" borderId="2" xfId="5" applyNumberFormat="1" applyFont="1" applyFill="1" applyBorder="1" applyAlignment="1">
      <alignment horizontal="center" vertical="center"/>
    </xf>
    <xf numFmtId="2" fontId="13" fillId="2" borderId="1" xfId="5" applyNumberFormat="1" applyFont="1" applyFill="1" applyBorder="1" applyAlignment="1">
      <alignment vertical="center"/>
    </xf>
    <xf numFmtId="176" fontId="13" fillId="6" borderId="2" xfId="5" applyNumberFormat="1" applyFont="1" applyFill="1" applyBorder="1" applyAlignment="1" applyProtection="1">
      <alignment horizontal="right" vertical="center"/>
      <protection locked="0"/>
    </xf>
    <xf numFmtId="175" fontId="13" fillId="2" borderId="2" xfId="5" applyNumberFormat="1" applyFont="1" applyFill="1" applyBorder="1" applyAlignment="1" applyProtection="1">
      <alignment horizontal="right" vertical="center"/>
      <protection locked="0"/>
    </xf>
    <xf numFmtId="176" fontId="13" fillId="2" borderId="1" xfId="5" applyNumberFormat="1" applyFont="1" applyFill="1" applyBorder="1" applyAlignment="1">
      <alignment horizontal="center" vertical="center"/>
    </xf>
    <xf numFmtId="175" fontId="13" fillId="5" borderId="2" xfId="5" applyNumberFormat="1" applyFont="1" applyFill="1" applyBorder="1" applyAlignment="1" applyProtection="1">
      <alignment horizontal="right" vertical="center"/>
      <protection locked="0"/>
    </xf>
    <xf numFmtId="176" fontId="13" fillId="2" borderId="2" xfId="5" applyNumberFormat="1" applyFont="1" applyFill="1" applyBorder="1" applyAlignment="1" applyProtection="1">
      <alignment horizontal="center" vertical="center"/>
      <protection locked="0"/>
    </xf>
    <xf numFmtId="176" fontId="20" fillId="5" borderId="9" xfId="16" applyNumberFormat="1" applyFill="1" applyBorder="1" applyAlignment="1">
      <alignment horizontal="right" vertical="center"/>
    </xf>
    <xf numFmtId="176" fontId="13" fillId="2" borderId="10" xfId="5" applyNumberFormat="1" applyFont="1" applyFill="1" applyBorder="1" applyAlignment="1">
      <alignment horizontal="center" vertical="center"/>
    </xf>
    <xf numFmtId="40" fontId="21" fillId="0" borderId="11" xfId="16" applyNumberFormat="1" applyFont="1" applyBorder="1" applyAlignment="1">
      <alignment horizontal="right"/>
    </xf>
    <xf numFmtId="40" fontId="21" fillId="5" borderId="11" xfId="16" applyNumberFormat="1" applyFont="1" applyFill="1" applyBorder="1" applyAlignment="1">
      <alignment horizontal="right"/>
    </xf>
    <xf numFmtId="175" fontId="13" fillId="2" borderId="2" xfId="5" applyNumberFormat="1" applyFont="1" applyFill="1" applyBorder="1" applyAlignment="1">
      <alignment horizontal="right" vertical="center"/>
    </xf>
    <xf numFmtId="176" fontId="13" fillId="2" borderId="2" xfId="5" applyNumberFormat="1" applyFont="1" applyFill="1" applyBorder="1" applyAlignment="1">
      <alignment horizontal="right" vertical="center"/>
    </xf>
    <xf numFmtId="175" fontId="13" fillId="4" borderId="2" xfId="5" applyNumberFormat="1" applyFont="1" applyFill="1" applyBorder="1" applyAlignment="1">
      <alignment horizontal="right" vertical="center"/>
    </xf>
    <xf numFmtId="176" fontId="13" fillId="4" borderId="2" xfId="5" applyNumberFormat="1" applyFont="1" applyFill="1" applyBorder="1" applyAlignment="1">
      <alignment horizontal="center" vertical="center"/>
    </xf>
    <xf numFmtId="175" fontId="13" fillId="6" borderId="1" xfId="5" applyNumberFormat="1" applyFont="1" applyFill="1" applyBorder="1" applyAlignment="1" applyProtection="1">
      <alignment horizontal="right" vertical="center"/>
      <protection locked="0"/>
    </xf>
    <xf numFmtId="175" fontId="13" fillId="2" borderId="1" xfId="5" applyNumberFormat="1" applyFont="1" applyFill="1" applyBorder="1" applyAlignment="1" applyProtection="1">
      <alignment horizontal="right" vertical="center"/>
      <protection locked="0"/>
    </xf>
    <xf numFmtId="175" fontId="13" fillId="2" borderId="1" xfId="5" applyNumberFormat="1" applyFont="1" applyFill="1" applyBorder="1" applyAlignment="1" applyProtection="1">
      <alignment horizontal="center" vertical="center"/>
      <protection locked="0"/>
    </xf>
    <xf numFmtId="176" fontId="13" fillId="6" borderId="1" xfId="5" applyNumberFormat="1" applyFont="1" applyFill="1" applyBorder="1" applyAlignment="1" applyProtection="1">
      <alignment horizontal="right" vertical="center"/>
      <protection locked="0"/>
    </xf>
    <xf numFmtId="4" fontId="22" fillId="0" borderId="12" xfId="17" applyNumberFormat="1" applyFont="1" applyBorder="1" applyAlignment="1">
      <alignment horizontal="right" vertical="top" wrapText="1"/>
    </xf>
    <xf numFmtId="40" fontId="20" fillId="7" borderId="9" xfId="16" applyNumberFormat="1" applyFill="1" applyBorder="1" applyAlignment="1">
      <alignment horizontal="right" vertical="center"/>
    </xf>
    <xf numFmtId="175" fontId="19" fillId="2" borderId="1" xfId="5" applyNumberFormat="1" applyFont="1" applyFill="1" applyBorder="1" applyAlignment="1" applyProtection="1">
      <alignment horizontal="right" vertical="center"/>
      <protection locked="0"/>
    </xf>
    <xf numFmtId="175" fontId="19" fillId="5" borderId="1" xfId="5" applyNumberFormat="1" applyFont="1" applyFill="1" applyBorder="1" applyAlignment="1" applyProtection="1">
      <alignment horizontal="right" vertical="center"/>
      <protection locked="0"/>
    </xf>
    <xf numFmtId="175" fontId="13" fillId="5" borderId="1" xfId="5" applyNumberFormat="1" applyFont="1" applyFill="1" applyBorder="1" applyAlignment="1" applyProtection="1">
      <alignment horizontal="right" vertical="center"/>
      <protection locked="0"/>
    </xf>
    <xf numFmtId="40" fontId="21" fillId="5" borderId="13" xfId="16" applyNumberFormat="1" applyFont="1" applyFill="1" applyBorder="1" applyAlignment="1">
      <alignment horizontal="right"/>
    </xf>
    <xf numFmtId="3" fontId="23" fillId="5" borderId="2" xfId="5" applyNumberFormat="1" applyFont="1" applyFill="1" applyBorder="1" applyAlignment="1">
      <alignment horizontal="center" vertical="center" wrapText="1"/>
    </xf>
    <xf numFmtId="176" fontId="13" fillId="2" borderId="2" xfId="5" applyNumberFormat="1" applyFont="1" applyFill="1" applyBorder="1" applyAlignment="1" applyProtection="1">
      <alignment horizontal="right" vertical="center"/>
      <protection locked="0"/>
    </xf>
    <xf numFmtId="4" fontId="24" fillId="0" borderId="1" xfId="5" applyNumberFormat="1" applyFont="1" applyBorder="1" applyAlignment="1">
      <alignment horizontal="center" vertical="center"/>
    </xf>
    <xf numFmtId="175" fontId="13" fillId="2" borderId="10" xfId="5" applyNumberFormat="1" applyFont="1" applyFill="1" applyBorder="1" applyAlignment="1">
      <alignment horizontal="center" vertical="center"/>
    </xf>
    <xf numFmtId="169" fontId="13" fillId="0" borderId="2" xfId="6" applyFont="1" applyFill="1" applyBorder="1" applyAlignment="1" applyProtection="1">
      <alignment horizontal="right" vertical="center"/>
    </xf>
    <xf numFmtId="40" fontId="20" fillId="8" borderId="14" xfId="18" applyNumberFormat="1" applyFill="1" applyBorder="1" applyAlignment="1">
      <alignment horizontal="right" vertical="center"/>
    </xf>
    <xf numFmtId="40" fontId="20" fillId="8" borderId="14" xfId="16" applyNumberFormat="1" applyFill="1" applyBorder="1" applyAlignment="1">
      <alignment horizontal="right" vertical="center"/>
    </xf>
    <xf numFmtId="40" fontId="21" fillId="0" borderId="15" xfId="16" applyNumberFormat="1" applyFont="1" applyBorder="1" applyAlignment="1">
      <alignment horizontal="right"/>
    </xf>
    <xf numFmtId="177" fontId="13" fillId="6" borderId="2" xfId="5" applyNumberFormat="1" applyFont="1" applyFill="1" applyBorder="1" applyAlignment="1" applyProtection="1">
      <alignment horizontal="right" vertical="center"/>
      <protection locked="0"/>
    </xf>
    <xf numFmtId="177" fontId="13" fillId="2" borderId="1" xfId="5" applyNumberFormat="1" applyFont="1" applyFill="1" applyBorder="1" applyAlignment="1">
      <alignment horizontal="center" vertical="center"/>
    </xf>
    <xf numFmtId="177" fontId="13" fillId="2" borderId="1" xfId="5" applyNumberFormat="1" applyFont="1" applyFill="1" applyBorder="1" applyAlignment="1" applyProtection="1">
      <alignment horizontal="right" vertical="center"/>
      <protection locked="0"/>
    </xf>
    <xf numFmtId="176" fontId="13" fillId="2" borderId="1" xfId="5" applyNumberFormat="1" applyFont="1" applyFill="1" applyBorder="1" applyAlignment="1" applyProtection="1">
      <alignment horizontal="right" vertical="center"/>
      <protection locked="0"/>
    </xf>
    <xf numFmtId="177" fontId="13" fillId="2" borderId="2" xfId="5" applyNumberFormat="1" applyFont="1" applyFill="1" applyBorder="1" applyAlignment="1" applyProtection="1">
      <alignment horizontal="right" vertical="center"/>
      <protection locked="0"/>
    </xf>
    <xf numFmtId="0" fontId="18" fillId="2" borderId="4" xfId="5" applyFont="1" applyFill="1" applyBorder="1" applyAlignment="1">
      <alignment horizontal="left" vertical="center" wrapText="1"/>
    </xf>
    <xf numFmtId="49" fontId="18" fillId="2" borderId="1" xfId="5" applyNumberFormat="1" applyFont="1" applyFill="1" applyBorder="1" applyAlignment="1">
      <alignment horizontal="center" vertical="center"/>
    </xf>
    <xf numFmtId="175" fontId="18" fillId="2" borderId="1" xfId="5" applyNumberFormat="1" applyFont="1" applyFill="1" applyBorder="1" applyAlignment="1">
      <alignment horizontal="right" vertical="center"/>
    </xf>
    <xf numFmtId="176" fontId="18" fillId="2" borderId="1" xfId="5" applyNumberFormat="1" applyFont="1" applyFill="1" applyBorder="1" applyAlignment="1">
      <alignment horizontal="right" vertical="center"/>
    </xf>
    <xf numFmtId="175" fontId="18" fillId="4" borderId="1" xfId="5" applyNumberFormat="1" applyFont="1" applyFill="1" applyBorder="1" applyAlignment="1">
      <alignment horizontal="right" vertical="center"/>
    </xf>
    <xf numFmtId="175" fontId="25" fillId="2" borderId="1" xfId="5" applyNumberFormat="1" applyFont="1" applyFill="1" applyBorder="1" applyAlignment="1">
      <alignment horizontal="right" vertical="center"/>
    </xf>
    <xf numFmtId="0" fontId="18" fillId="2" borderId="1" xfId="5" applyFont="1" applyFill="1" applyBorder="1" applyAlignment="1">
      <alignment vertical="center"/>
    </xf>
    <xf numFmtId="0" fontId="18" fillId="2" borderId="0" xfId="5" applyFont="1" applyFill="1" applyAlignment="1">
      <alignment vertical="center"/>
    </xf>
    <xf numFmtId="0" fontId="13" fillId="2" borderId="0" xfId="5" applyFont="1" applyFill="1" applyAlignment="1">
      <alignment horizontal="left" wrapText="1"/>
    </xf>
    <xf numFmtId="175" fontId="13" fillId="2" borderId="0" xfId="5" applyNumberFormat="1" applyFont="1" applyFill="1" applyAlignment="1">
      <alignment vertical="center"/>
    </xf>
    <xf numFmtId="0" fontId="13" fillId="2" borderId="0" xfId="5" applyFont="1" applyFill="1" applyAlignment="1">
      <alignment horizontal="left" vertical="center" wrapText="1"/>
    </xf>
    <xf numFmtId="0" fontId="13" fillId="2" borderId="0" xfId="5" applyFont="1" applyFill="1" applyAlignment="1">
      <alignment horizontal="left" vertical="center"/>
    </xf>
    <xf numFmtId="173" fontId="13" fillId="2" borderId="0" xfId="5" applyNumberFormat="1" applyFont="1" applyFill="1" applyAlignment="1">
      <alignment vertical="center"/>
    </xf>
    <xf numFmtId="4" fontId="22" fillId="0" borderId="12" xfId="16" applyNumberFormat="1" applyFont="1" applyBorder="1" applyAlignment="1">
      <alignment horizontal="right" vertical="top" wrapText="1"/>
    </xf>
    <xf numFmtId="0" fontId="26" fillId="0" borderId="0" xfId="5" applyFont="1"/>
    <xf numFmtId="4" fontId="13" fillId="2" borderId="0" xfId="5" applyNumberFormat="1" applyFont="1" applyFill="1" applyAlignment="1">
      <alignment vertical="center"/>
    </xf>
    <xf numFmtId="0" fontId="27" fillId="9" borderId="17" xfId="5" applyFont="1" applyFill="1" applyBorder="1" applyAlignment="1">
      <alignment horizontal="right" vertical="center" wrapText="1"/>
    </xf>
    <xf numFmtId="175" fontId="28" fillId="10" borderId="0" xfId="5" applyNumberFormat="1" applyFont="1" applyFill="1" applyAlignment="1">
      <alignment vertical="center" wrapText="1"/>
    </xf>
    <xf numFmtId="4" fontId="29" fillId="7" borderId="12" xfId="16" applyNumberFormat="1" applyFont="1" applyFill="1" applyBorder="1" applyAlignment="1">
      <alignment horizontal="right" vertical="top" wrapText="1"/>
    </xf>
    <xf numFmtId="40" fontId="21" fillId="0" borderId="13" xfId="16" applyNumberFormat="1" applyFont="1" applyBorder="1" applyAlignment="1">
      <alignment horizontal="right"/>
    </xf>
    <xf numFmtId="175" fontId="26" fillId="0" borderId="0" xfId="5" applyNumberFormat="1" applyFont="1"/>
    <xf numFmtId="169" fontId="13" fillId="2" borderId="0" xfId="6" applyFont="1" applyFill="1" applyBorder="1" applyAlignment="1" applyProtection="1">
      <alignment vertical="center"/>
    </xf>
    <xf numFmtId="40" fontId="20" fillId="8" borderId="18" xfId="16" applyNumberFormat="1" applyFill="1" applyBorder="1" applyAlignment="1">
      <alignment horizontal="right" vertical="center"/>
    </xf>
    <xf numFmtId="40" fontId="20" fillId="7" borderId="18" xfId="16" applyNumberFormat="1" applyFill="1" applyBorder="1" applyAlignment="1">
      <alignment horizontal="right" vertical="center"/>
    </xf>
    <xf numFmtId="176" fontId="13" fillId="2" borderId="0" xfId="5" applyNumberFormat="1" applyFont="1" applyFill="1" applyAlignment="1">
      <alignment vertical="center"/>
    </xf>
    <xf numFmtId="40" fontId="20" fillId="7" borderId="14" xfId="16" applyNumberFormat="1" applyFill="1" applyBorder="1" applyAlignment="1">
      <alignment horizontal="right" vertical="center"/>
    </xf>
    <xf numFmtId="0" fontId="30" fillId="0" borderId="0" xfId="7" applyFont="1" applyAlignment="1">
      <alignment vertical="center"/>
    </xf>
    <xf numFmtId="0" fontId="13" fillId="0" borderId="0" xfId="7" applyAlignment="1">
      <alignment vertical="center"/>
    </xf>
    <xf numFmtId="0" fontId="18" fillId="0" borderId="3" xfId="7" applyFont="1" applyBorder="1" applyAlignment="1">
      <alignment horizontal="center" vertical="center" wrapText="1"/>
    </xf>
    <xf numFmtId="0" fontId="18" fillId="0" borderId="4" xfId="7" applyFont="1" applyBorder="1" applyAlignment="1">
      <alignment horizontal="center" vertical="center" wrapText="1"/>
    </xf>
    <xf numFmtId="0" fontId="18" fillId="0" borderId="2" xfId="7" applyFont="1" applyBorder="1" applyAlignment="1">
      <alignment horizontal="center" vertical="center" wrapText="1"/>
    </xf>
    <xf numFmtId="0" fontId="13" fillId="0" borderId="4" xfId="7" applyBorder="1" applyAlignment="1">
      <alignment horizontal="center" vertical="center" wrapText="1"/>
    </xf>
    <xf numFmtId="0" fontId="13" fillId="0" borderId="1" xfId="7" applyBorder="1" applyAlignment="1">
      <alignment horizontal="center" vertical="center"/>
    </xf>
    <xf numFmtId="49" fontId="13" fillId="0" borderId="1" xfId="7" applyNumberFormat="1" applyBorder="1" applyAlignment="1">
      <alignment horizontal="center" vertical="center"/>
    </xf>
    <xf numFmtId="0" fontId="13" fillId="0" borderId="1" xfId="7" applyBorder="1" applyAlignment="1">
      <alignment vertical="center"/>
    </xf>
    <xf numFmtId="0" fontId="13" fillId="0" borderId="4" xfId="7" applyBorder="1" applyAlignment="1">
      <alignment vertical="center" wrapText="1"/>
    </xf>
    <xf numFmtId="176" fontId="13" fillId="6" borderId="1" xfId="7" applyNumberFormat="1" applyFill="1" applyBorder="1" applyAlignment="1">
      <alignment horizontal="right" vertical="center"/>
    </xf>
    <xf numFmtId="176" fontId="13" fillId="11" borderId="1" xfId="7" applyNumberFormat="1" applyFill="1" applyBorder="1" applyAlignment="1">
      <alignment horizontal="right" vertical="center"/>
    </xf>
    <xf numFmtId="176" fontId="13" fillId="0" borderId="1" xfId="7" applyNumberFormat="1" applyBorder="1" applyAlignment="1">
      <alignment horizontal="right" vertical="center"/>
    </xf>
    <xf numFmtId="49" fontId="13" fillId="0" borderId="2" xfId="7" applyNumberFormat="1" applyBorder="1" applyAlignment="1">
      <alignment horizontal="center" vertical="center"/>
    </xf>
    <xf numFmtId="176" fontId="13" fillId="11" borderId="2" xfId="7" applyNumberFormat="1" applyFill="1" applyBorder="1" applyAlignment="1">
      <alignment horizontal="right" vertical="center"/>
    </xf>
    <xf numFmtId="176" fontId="13" fillId="6" borderId="2" xfId="7" applyNumberFormat="1" applyFill="1" applyBorder="1" applyAlignment="1">
      <alignment horizontal="right" vertical="center"/>
    </xf>
    <xf numFmtId="0" fontId="18" fillId="0" borderId="1" xfId="7" applyFont="1" applyBorder="1" applyAlignment="1">
      <alignment horizontal="center" vertical="center" wrapText="1"/>
    </xf>
    <xf numFmtId="0" fontId="13" fillId="0" borderId="0" xfId="7" applyAlignment="1">
      <alignment horizontal="left" vertical="center" wrapText="1"/>
    </xf>
    <xf numFmtId="49" fontId="13" fillId="0" borderId="0" xfId="7" applyNumberFormat="1" applyAlignment="1">
      <alignment vertical="center"/>
    </xf>
    <xf numFmtId="176" fontId="13" fillId="0" borderId="0" xfId="7" applyNumberFormat="1" applyAlignment="1">
      <alignment vertical="center"/>
    </xf>
    <xf numFmtId="0" fontId="13" fillId="0" borderId="0" xfId="7" applyAlignment="1">
      <alignment horizontal="center" vertical="center" wrapText="1"/>
    </xf>
    <xf numFmtId="0" fontId="13" fillId="0" borderId="0" xfId="7" applyAlignment="1">
      <alignment vertical="center" wrapText="1"/>
    </xf>
    <xf numFmtId="173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6" fontId="13" fillId="0" borderId="0" xfId="2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2" borderId="3" xfId="5" applyFont="1" applyFill="1" applyBorder="1" applyAlignment="1">
      <alignment horizontal="left" vertical="center"/>
    </xf>
    <xf numFmtId="0" fontId="13" fillId="5" borderId="1" xfId="5" applyFont="1" applyFill="1" applyBorder="1" applyAlignment="1">
      <alignment horizontal="center" vertical="center" wrapText="1"/>
    </xf>
    <xf numFmtId="0" fontId="13" fillId="4" borderId="1" xfId="5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left" wrapText="1"/>
    </xf>
    <xf numFmtId="0" fontId="13" fillId="2" borderId="3" xfId="5" applyFont="1" applyFill="1" applyBorder="1" applyAlignment="1">
      <alignment horizontal="left" vertical="center" wrapText="1"/>
    </xf>
    <xf numFmtId="0" fontId="13" fillId="2" borderId="16" xfId="5" applyFont="1" applyFill="1" applyBorder="1" applyAlignment="1">
      <alignment horizontal="left" wrapText="1"/>
    </xf>
    <xf numFmtId="0" fontId="13" fillId="4" borderId="4" xfId="5" applyFont="1" applyFill="1" applyBorder="1" applyAlignment="1">
      <alignment horizontal="center" vertical="center" wrapText="1"/>
    </xf>
    <xf numFmtId="0" fontId="13" fillId="4" borderId="5" xfId="5" applyFont="1" applyFill="1" applyBorder="1" applyAlignment="1">
      <alignment horizontal="center" vertical="center" wrapText="1"/>
    </xf>
    <xf numFmtId="0" fontId="13" fillId="4" borderId="6" xfId="5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 wrapText="1"/>
    </xf>
    <xf numFmtId="0" fontId="18" fillId="2" borderId="3" xfId="5" applyFont="1" applyFill="1" applyBorder="1" applyAlignment="1">
      <alignment horizontal="center" vertical="center"/>
    </xf>
    <xf numFmtId="0" fontId="13" fillId="2" borderId="2" xfId="5" applyFont="1" applyFill="1" applyBorder="1" applyAlignment="1">
      <alignment horizontal="center" vertical="center" wrapText="1"/>
    </xf>
    <xf numFmtId="0" fontId="13" fillId="2" borderId="7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 wrapText="1"/>
    </xf>
    <xf numFmtId="0" fontId="13" fillId="2" borderId="5" xfId="5" applyFont="1" applyFill="1" applyBorder="1" applyAlignment="1">
      <alignment horizontal="center" vertical="center" wrapText="1"/>
    </xf>
    <xf numFmtId="0" fontId="13" fillId="2" borderId="6" xfId="5" applyFont="1" applyFill="1" applyBorder="1" applyAlignment="1">
      <alignment horizontal="center" vertical="center" wrapText="1"/>
    </xf>
    <xf numFmtId="0" fontId="13" fillId="0" borderId="0" xfId="7" applyAlignment="1">
      <alignment horizontal="center" vertical="center"/>
    </xf>
    <xf numFmtId="0" fontId="31" fillId="0" borderId="3" xfId="7" applyFont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/>
    </xf>
    <xf numFmtId="167" fontId="11" fillId="0" borderId="0" xfId="0" applyNumberFormat="1" applyFont="1" applyFill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</cellXfs>
  <cellStyles count="19">
    <cellStyle name="Обычный" xfId="0" builtinId="0"/>
    <cellStyle name="Обычный 13" xfId="5" xr:uid="{F4AE91C9-50DF-4247-B93C-2B2A439391B4}"/>
    <cellStyle name="Обычный 2" xfId="7" xr:uid="{84BBAC7B-8083-4AAA-A4BF-565AD4B1F8DC}"/>
    <cellStyle name="Обычный 2 10" xfId="14" xr:uid="{730062E7-86D0-4BA4-81B9-F09C1C3ECB60}"/>
    <cellStyle name="Обычный 3" xfId="8" xr:uid="{71F66709-39E9-4336-A923-430FC8EB865E}"/>
    <cellStyle name="Обычный 4" xfId="10" xr:uid="{89DC88E3-E309-4345-BCFF-FB56F322D11A}"/>
    <cellStyle name="Обычный 5" xfId="11" xr:uid="{9F879820-A565-4681-A6EC-5675FDC09FBD}"/>
    <cellStyle name="Обычный 6" xfId="12" xr:uid="{49BFF8B3-70F0-4E49-A7B0-114726B0D6A5}"/>
    <cellStyle name="Обычный 7" xfId="13" xr:uid="{D9B5CCB0-03CB-44A8-9153-B5A767B4EAC8}"/>
    <cellStyle name="Обычный 8" xfId="15" xr:uid="{41759BC3-FBDD-47C0-96FD-33B2B1D21CC9}"/>
    <cellStyle name="Обычный_ф-2 ЗА 7 м-ц" xfId="18" xr:uid="{E52E5AE1-4D52-4985-A84C-A3686D11091D}"/>
    <cellStyle name="Обычный_ф-2 ЗА ГОД" xfId="16" xr:uid="{C4535505-3EB4-41DD-8AF4-82763588430F}"/>
    <cellStyle name="Обычный_ф-2 ЗА ГОД (2)" xfId="17" xr:uid="{3BC6A19B-60B4-4B64-AD75-0F67DF141213}"/>
    <cellStyle name="Процентный" xfId="2" builtinId="5"/>
    <cellStyle name="Процентный 2" xfId="3" xr:uid="{1F8FE374-2AD9-4261-BD9C-E8DCA61E6A97}"/>
    <cellStyle name="Процентный 3" xfId="9" xr:uid="{1FFA06B9-1DCE-4D21-B6DB-704500C485EC}"/>
    <cellStyle name="Финансовый" xfId="1" builtinId="3"/>
    <cellStyle name="Финансовый 2" xfId="4" xr:uid="{BF752C38-8823-43C1-A32B-B90FBD18D90C}"/>
    <cellStyle name="Финансовый 3" xfId="6" xr:uid="{9649CB8F-A1E1-40DE-9C87-D4869087296D}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SI\Downloads\Telegram%20Desktop\Users\User\Documents\a.tarasov@exat.uz\temp\Documents%20and%20Settings\UserXP\&#1056;&#1072;&#1073;&#1086;&#1095;&#1080;&#1081;%20&#1089;&#1090;&#1086;&#1083;\Dokum's\&#1069;&#1051;&#1051;&#1040;\&#1048;&#1052;&#1056;\2011\&#1047;&#1072;&#1076;&#1072;&#1085;&#1080;&#1077;-&#1087;&#1083;&#1072;&#1085;%202011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SI\Downloads\Telegram%20Desktop\Users\User\Documents\a.tarasov@exat.uz\temp\Dokum's\&#1069;&#1051;&#1051;&#1040;\&#1048;&#1052;&#1056;\2011\&#1047;&#1072;&#1076;&#1072;&#1085;&#1080;&#1077;-&#1087;&#1083;&#1072;&#1085;%202011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дание 12.01.11г."/>
      <sheetName val="План 18.01.11 г."/>
      <sheetName val="План будущий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дание 12.01.11г."/>
      <sheetName val="План 18.01.11 г."/>
      <sheetName val="План будущи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CD1E-B1F5-4B41-B6E4-D575325C5E9E}">
  <sheetPr>
    <tabColor theme="8" tint="0.39997558519241921"/>
  </sheetPr>
  <dimension ref="A1:O51"/>
  <sheetViews>
    <sheetView tabSelected="1" zoomScale="80" zoomScaleNormal="80" zoomScaleSheetLayoutView="100" workbookViewId="0">
      <pane xSplit="3" ySplit="8" topLeftCell="D21" activePane="bottomRight" state="frozen"/>
      <selection pane="topRight" activeCell="D1" sqref="D1"/>
      <selection pane="bottomLeft" activeCell="A9" sqref="A9"/>
      <selection pane="bottomRight" activeCell="L29" sqref="L29"/>
    </sheetView>
  </sheetViews>
  <sheetFormatPr defaultRowHeight="15"/>
  <cols>
    <col min="1" max="1" width="5.7109375" style="55" customWidth="1"/>
    <col min="2" max="2" width="34.42578125" style="51" customWidth="1"/>
    <col min="3" max="3" width="8.28515625" style="51" customWidth="1"/>
    <col min="4" max="4" width="21.85546875" style="54" customWidth="1"/>
    <col min="5" max="5" width="20.42578125" style="54" customWidth="1"/>
    <col min="6" max="6" width="20.5703125" style="54" customWidth="1"/>
    <col min="7" max="7" width="15.28515625" style="54" customWidth="1"/>
    <col min="8" max="8" width="12.7109375" style="54" customWidth="1"/>
    <col min="9" max="10" width="9.140625" style="51"/>
    <col min="11" max="11" width="15" style="222" customWidth="1"/>
    <col min="12" max="15" width="15" style="55" customWidth="1"/>
    <col min="16" max="16384" width="9.140625" style="51"/>
  </cols>
  <sheetData>
    <row r="1" spans="1:15">
      <c r="A1" s="1"/>
      <c r="B1" s="2"/>
      <c r="C1" s="2"/>
      <c r="D1" s="3"/>
      <c r="E1" s="49"/>
      <c r="F1" s="4"/>
      <c r="G1" s="7"/>
      <c r="H1" s="5" t="s">
        <v>0</v>
      </c>
    </row>
    <row r="2" spans="1:15">
      <c r="A2" s="6"/>
      <c r="B2" s="2"/>
      <c r="C2" s="2"/>
      <c r="D2" s="7"/>
      <c r="E2" s="7"/>
      <c r="F2" s="4"/>
      <c r="G2" s="7"/>
      <c r="H2" s="8"/>
    </row>
    <row r="3" spans="1:15" ht="18" customHeight="1">
      <c r="A3" s="197" t="s">
        <v>81</v>
      </c>
      <c r="B3" s="197"/>
      <c r="C3" s="197"/>
      <c r="D3" s="197"/>
      <c r="E3" s="197"/>
      <c r="F3" s="197"/>
      <c r="G3" s="197"/>
      <c r="H3" s="197"/>
    </row>
    <row r="4" spans="1:15" ht="18" customHeight="1">
      <c r="A4" s="197" t="s">
        <v>79</v>
      </c>
      <c r="B4" s="197"/>
      <c r="C4" s="197"/>
      <c r="D4" s="197"/>
      <c r="E4" s="197"/>
      <c r="F4" s="197"/>
      <c r="G4" s="197"/>
      <c r="H4" s="197"/>
    </row>
    <row r="5" spans="1:15" s="52" customFormat="1" ht="15.75">
      <c r="A5" s="9"/>
      <c r="B5" s="9"/>
      <c r="C5" s="9"/>
      <c r="D5" s="10"/>
      <c r="E5" s="50"/>
      <c r="F5" s="11"/>
      <c r="G5" s="9"/>
      <c r="H5" s="12" t="s">
        <v>1</v>
      </c>
      <c r="K5" s="222"/>
      <c r="L5" s="61"/>
      <c r="M5" s="61"/>
      <c r="N5" s="61"/>
      <c r="O5" s="61"/>
    </row>
    <row r="6" spans="1:15" ht="42.75" customHeight="1">
      <c r="A6" s="198" t="s">
        <v>2</v>
      </c>
      <c r="B6" s="199" t="s">
        <v>3</v>
      </c>
      <c r="C6" s="198" t="s">
        <v>4</v>
      </c>
      <c r="D6" s="200" t="s">
        <v>5</v>
      </c>
      <c r="E6" s="200"/>
      <c r="F6" s="200"/>
      <c r="G6" s="200"/>
      <c r="H6" s="200"/>
    </row>
    <row r="7" spans="1:15" ht="45">
      <c r="A7" s="198"/>
      <c r="B7" s="199"/>
      <c r="C7" s="198"/>
      <c r="D7" s="13" t="s">
        <v>80</v>
      </c>
      <c r="E7" s="13" t="s">
        <v>82</v>
      </c>
      <c r="F7" s="13" t="s">
        <v>83</v>
      </c>
      <c r="G7" s="13" t="s">
        <v>6</v>
      </c>
      <c r="H7" s="13" t="s">
        <v>75</v>
      </c>
    </row>
    <row r="8" spans="1:15">
      <c r="A8" s="43">
        <v>1</v>
      </c>
      <c r="B8" s="42">
        <v>2</v>
      </c>
      <c r="C8" s="43">
        <v>3</v>
      </c>
      <c r="D8" s="14">
        <v>4</v>
      </c>
      <c r="E8" s="15">
        <v>5</v>
      </c>
      <c r="F8" s="15">
        <v>6</v>
      </c>
      <c r="G8" s="14">
        <v>7</v>
      </c>
      <c r="H8" s="14">
        <v>8</v>
      </c>
    </row>
    <row r="9" spans="1:15" ht="30.75" customHeight="1">
      <c r="A9" s="45" t="s">
        <v>7</v>
      </c>
      <c r="B9" s="16" t="s">
        <v>8</v>
      </c>
      <c r="C9" s="44" t="s">
        <v>9</v>
      </c>
      <c r="D9" s="17">
        <f>+D10+D12+D16+D14</f>
        <v>109021886.57436001</v>
      </c>
      <c r="E9" s="17">
        <f>+E10+E12+E16+E14</f>
        <v>288788537</v>
      </c>
      <c r="F9" s="17">
        <f>+F10+F12+F16+F14</f>
        <v>339985594</v>
      </c>
      <c r="G9" s="18">
        <f>ABS(F9/D9)</f>
        <v>3.1185077114594577</v>
      </c>
      <c r="H9" s="18">
        <f>ABS(F9/E9)</f>
        <v>1.1772821647695801</v>
      </c>
    </row>
    <row r="10" spans="1:15" ht="30.75" customHeight="1">
      <c r="A10" s="45" t="s">
        <v>10</v>
      </c>
      <c r="B10" s="16" t="s">
        <v>11</v>
      </c>
      <c r="C10" s="44" t="s">
        <v>9</v>
      </c>
      <c r="D10" s="17">
        <v>53135700.800000004</v>
      </c>
      <c r="E10" s="17">
        <v>60950537</v>
      </c>
      <c r="F10" s="17">
        <v>60644728.042860001</v>
      </c>
      <c r="G10" s="18">
        <f t="shared" ref="G10:G42" si="0">ABS(F10/D10)</f>
        <v>1.1413179299379823</v>
      </c>
      <c r="H10" s="18">
        <f t="shared" ref="H10:H42" si="1">ABS(F10/E10)</f>
        <v>0.99498267001093033</v>
      </c>
      <c r="K10" s="222" t="s">
        <v>84</v>
      </c>
      <c r="L10" s="55" t="s">
        <v>85</v>
      </c>
      <c r="M10" s="55" t="s">
        <v>86</v>
      </c>
      <c r="N10" s="55" t="s">
        <v>87</v>
      </c>
      <c r="O10" s="55" t="s">
        <v>88</v>
      </c>
    </row>
    <row r="11" spans="1:15" ht="16.5" customHeight="1">
      <c r="A11" s="42" t="s">
        <v>12</v>
      </c>
      <c r="B11" s="19" t="s">
        <v>13</v>
      </c>
      <c r="C11" s="43" t="s">
        <v>9</v>
      </c>
      <c r="D11" s="20">
        <v>3864748.8729999997</v>
      </c>
      <c r="E11" s="20">
        <v>2270212</v>
      </c>
      <c r="F11" s="20">
        <f>K11+L11+M11+N11+O11</f>
        <v>2982589.003</v>
      </c>
      <c r="G11" s="21">
        <f t="shared" si="0"/>
        <v>0.77174199437304558</v>
      </c>
      <c r="H11" s="21">
        <f t="shared" si="1"/>
        <v>1.3137931624887895</v>
      </c>
      <c r="K11" s="223">
        <v>198235.21799999999</v>
      </c>
      <c r="L11" s="20">
        <v>188758.728</v>
      </c>
      <c r="M11" s="20">
        <v>1862257.1140000001</v>
      </c>
      <c r="N11" s="20">
        <v>608276.94299999997</v>
      </c>
      <c r="O11" s="20">
        <f>140068.32/1.12</f>
        <v>125061</v>
      </c>
    </row>
    <row r="12" spans="1:15" ht="30.75" customHeight="1">
      <c r="A12" s="45" t="s">
        <v>14</v>
      </c>
      <c r="B12" s="16" t="s">
        <v>15</v>
      </c>
      <c r="C12" s="44" t="s">
        <v>9</v>
      </c>
      <c r="D12" s="17">
        <v>0</v>
      </c>
      <c r="E12" s="17">
        <v>166760000</v>
      </c>
      <c r="F12" s="17">
        <v>181713907.60099998</v>
      </c>
      <c r="G12" s="18" t="e">
        <f t="shared" si="0"/>
        <v>#DIV/0!</v>
      </c>
      <c r="H12" s="18">
        <f t="shared" si="1"/>
        <v>1.0896732285979851</v>
      </c>
    </row>
    <row r="13" spans="1:15" ht="16.5" customHeight="1">
      <c r="A13" s="42" t="s">
        <v>16</v>
      </c>
      <c r="B13" s="19" t="s">
        <v>13</v>
      </c>
      <c r="C13" s="43" t="s">
        <v>9</v>
      </c>
      <c r="D13" s="20">
        <v>0</v>
      </c>
      <c r="E13" s="20">
        <v>6081578</v>
      </c>
      <c r="F13" s="20">
        <f>K13+L13+M13+N13+O13</f>
        <v>20273310.327</v>
      </c>
      <c r="G13" s="21" t="e">
        <f t="shared" si="0"/>
        <v>#DIV/0!</v>
      </c>
      <c r="H13" s="21">
        <f t="shared" si="1"/>
        <v>3.3335608499964975</v>
      </c>
      <c r="K13" s="223">
        <v>17910214.890999999</v>
      </c>
      <c r="L13" s="20">
        <v>2363095.4359999998</v>
      </c>
      <c r="M13" s="20"/>
      <c r="N13" s="20"/>
      <c r="O13" s="20"/>
    </row>
    <row r="14" spans="1:15" ht="25.5">
      <c r="A14" s="46" t="s">
        <v>17</v>
      </c>
      <c r="B14" s="16" t="s">
        <v>18</v>
      </c>
      <c r="C14" s="44" t="s">
        <v>9</v>
      </c>
      <c r="D14" s="17">
        <v>36219330.325000003</v>
      </c>
      <c r="E14" s="17">
        <v>57078000</v>
      </c>
      <c r="F14" s="17">
        <v>79090993</v>
      </c>
      <c r="G14" s="18">
        <f t="shared" si="0"/>
        <v>2.1836680107088644</v>
      </c>
      <c r="H14" s="18">
        <f t="shared" si="1"/>
        <v>1.3856651073968955</v>
      </c>
    </row>
    <row r="15" spans="1:15" ht="16.5" customHeight="1">
      <c r="A15" s="42" t="s">
        <v>19</v>
      </c>
      <c r="B15" s="19" t="s">
        <v>13</v>
      </c>
      <c r="C15" s="43" t="s">
        <v>9</v>
      </c>
      <c r="D15" s="20">
        <v>910991.696</v>
      </c>
      <c r="E15" s="20">
        <v>1606177</v>
      </c>
      <c r="F15" s="20">
        <f>K15+L15+M15+N15+O15</f>
        <v>1969956.0090000001</v>
      </c>
      <c r="G15" s="21">
        <f t="shared" si="0"/>
        <v>2.1624302588593518</v>
      </c>
      <c r="H15" s="21">
        <f t="shared" si="1"/>
        <v>1.2264874973306181</v>
      </c>
      <c r="M15" s="20">
        <v>1729177.2290000001</v>
      </c>
      <c r="N15" s="20">
        <f>237028.78+3750</f>
        <v>240778.78</v>
      </c>
    </row>
    <row r="16" spans="1:15" ht="30.75" customHeight="1">
      <c r="A16" s="45">
        <v>5</v>
      </c>
      <c r="B16" s="16" t="s">
        <v>20</v>
      </c>
      <c r="C16" s="44" t="s">
        <v>9</v>
      </c>
      <c r="D16" s="17">
        <f>+D18+D19</f>
        <v>19666855.449360002</v>
      </c>
      <c r="E16" s="17">
        <f>+E18+E19</f>
        <v>4000000</v>
      </c>
      <c r="F16" s="17">
        <f>+F18+F19</f>
        <v>18535965.356140029</v>
      </c>
      <c r="G16" s="18">
        <f t="shared" si="0"/>
        <v>0.94249766587587469</v>
      </c>
      <c r="H16" s="18">
        <f t="shared" si="1"/>
        <v>4.6339913390350072</v>
      </c>
    </row>
    <row r="17" spans="1:15" ht="16.5" customHeight="1">
      <c r="A17" s="42" t="s">
        <v>21</v>
      </c>
      <c r="B17" s="19" t="s">
        <v>13</v>
      </c>
      <c r="C17" s="43" t="s">
        <v>9</v>
      </c>
      <c r="D17" s="20">
        <v>103480.382</v>
      </c>
      <c r="E17" s="20">
        <v>202423</v>
      </c>
      <c r="F17" s="20"/>
      <c r="G17" s="21">
        <f t="shared" si="0"/>
        <v>0</v>
      </c>
      <c r="H17" s="21">
        <f t="shared" si="1"/>
        <v>0</v>
      </c>
    </row>
    <row r="18" spans="1:15" ht="16.5" customHeight="1">
      <c r="A18" s="42" t="s">
        <v>22</v>
      </c>
      <c r="B18" s="22" t="s">
        <v>23</v>
      </c>
      <c r="C18" s="43" t="s">
        <v>9</v>
      </c>
      <c r="D18" s="20">
        <v>18651982.296360001</v>
      </c>
      <c r="E18" s="20">
        <v>4000000</v>
      </c>
      <c r="F18" s="63">
        <f>18473781.62477+K18</f>
        <v>18415555.246630028</v>
      </c>
      <c r="G18" s="21">
        <f t="shared" si="0"/>
        <v>0.98732429368774854</v>
      </c>
      <c r="H18" s="21">
        <f t="shared" si="1"/>
        <v>4.603888811657507</v>
      </c>
      <c r="K18" s="222">
        <v>-58226.378139972687</v>
      </c>
    </row>
    <row r="19" spans="1:15" ht="16.5" customHeight="1">
      <c r="A19" s="42" t="s">
        <v>24</v>
      </c>
      <c r="B19" s="22" t="s">
        <v>76</v>
      </c>
      <c r="C19" s="43" t="s">
        <v>9</v>
      </c>
      <c r="D19" s="20">
        <v>1014873.1529999999</v>
      </c>
      <c r="E19" s="20"/>
      <c r="F19" s="20">
        <v>120410.10951000001</v>
      </c>
      <c r="G19" s="21">
        <f t="shared" si="0"/>
        <v>0.11864547717521504</v>
      </c>
      <c r="H19" s="21" t="e">
        <f t="shared" si="1"/>
        <v>#DIV/0!</v>
      </c>
    </row>
    <row r="20" spans="1:15" ht="30.75" customHeight="1">
      <c r="A20" s="40" t="s">
        <v>25</v>
      </c>
      <c r="B20" s="16" t="s">
        <v>26</v>
      </c>
      <c r="C20" s="24" t="s">
        <v>9</v>
      </c>
      <c r="D20" s="17">
        <f>D15+D11+D13+D17</f>
        <v>4879220.9510000004</v>
      </c>
      <c r="E20" s="17">
        <f>E15+E11+E13+E17</f>
        <v>10160390</v>
      </c>
      <c r="F20" s="17">
        <f>F15+F11+F13+F17</f>
        <v>25225855.339000002</v>
      </c>
      <c r="G20" s="18">
        <f t="shared" si="0"/>
        <v>5.1700580056391878</v>
      </c>
      <c r="H20" s="18">
        <f t="shared" si="1"/>
        <v>2.4827644744935973</v>
      </c>
    </row>
    <row r="21" spans="1:15" ht="27" customHeight="1">
      <c r="A21" s="42" t="s">
        <v>27</v>
      </c>
      <c r="B21" s="25" t="s">
        <v>28</v>
      </c>
      <c r="C21" s="43" t="s">
        <v>9</v>
      </c>
      <c r="D21" s="26">
        <f>+D9-D20</f>
        <v>104142665.62336001</v>
      </c>
      <c r="E21" s="26">
        <f>+E9-E20</f>
        <v>278628147</v>
      </c>
      <c r="F21" s="26">
        <f>+F9-F20</f>
        <v>314759738.66100001</v>
      </c>
      <c r="G21" s="27">
        <f t="shared" si="0"/>
        <v>3.0223898800454458</v>
      </c>
      <c r="H21" s="27">
        <f t="shared" si="1"/>
        <v>1.1296767467681577</v>
      </c>
    </row>
    <row r="22" spans="1:15" ht="27" customHeight="1">
      <c r="A22" s="42" t="s">
        <v>29</v>
      </c>
      <c r="B22" s="41" t="s">
        <v>30</v>
      </c>
      <c r="C22" s="43" t="s">
        <v>31</v>
      </c>
      <c r="D22" s="28">
        <v>3311</v>
      </c>
      <c r="E22" s="28">
        <v>3850</v>
      </c>
      <c r="F22" s="28">
        <v>3869</v>
      </c>
      <c r="G22" s="21">
        <f t="shared" si="0"/>
        <v>1.1685291452733313</v>
      </c>
      <c r="H22" s="21">
        <f t="shared" si="1"/>
        <v>1.004935064935065</v>
      </c>
    </row>
    <row r="23" spans="1:15" ht="27" customHeight="1">
      <c r="A23" s="40" t="s">
        <v>32</v>
      </c>
      <c r="B23" s="29" t="s">
        <v>33</v>
      </c>
      <c r="C23" s="44" t="s">
        <v>9</v>
      </c>
      <c r="D23" s="17">
        <v>82766416.229000002</v>
      </c>
      <c r="E23" s="17">
        <v>125933661</v>
      </c>
      <c r="F23" s="17">
        <v>129193751.92399999</v>
      </c>
      <c r="G23" s="18">
        <f t="shared" si="0"/>
        <v>1.5609441342312538</v>
      </c>
      <c r="H23" s="18">
        <f t="shared" si="1"/>
        <v>1.0258873671908895</v>
      </c>
    </row>
    <row r="24" spans="1:15" ht="27" customHeight="1">
      <c r="A24" s="42" t="s">
        <v>34</v>
      </c>
      <c r="B24" s="19" t="s">
        <v>35</v>
      </c>
      <c r="C24" s="43" t="s">
        <v>9</v>
      </c>
      <c r="D24" s="28">
        <f>D21/D22/3</f>
        <v>10484.512798083158</v>
      </c>
      <c r="E24" s="28">
        <f>E21/E22/3</f>
        <v>24123.64909090909</v>
      </c>
      <c r="F24" s="28">
        <f>F21/F22/3</f>
        <v>27118.095861204449</v>
      </c>
      <c r="G24" s="21">
        <f t="shared" si="0"/>
        <v>2.5864907968029129</v>
      </c>
      <c r="H24" s="21">
        <f t="shared" si="1"/>
        <v>1.124129096680643</v>
      </c>
    </row>
    <row r="25" spans="1:15" ht="27" customHeight="1">
      <c r="A25" s="40" t="s">
        <v>36</v>
      </c>
      <c r="B25" s="16" t="s">
        <v>37</v>
      </c>
      <c r="C25" s="44" t="s">
        <v>9</v>
      </c>
      <c r="D25" s="17">
        <f>(D23/D22)/3</f>
        <v>8332.4691663143058</v>
      </c>
      <c r="E25" s="17">
        <f>(E23/E22)/3</f>
        <v>10903.347272727273</v>
      </c>
      <c r="F25" s="17">
        <f>(F23/F22)/3</f>
        <v>11130.675620229173</v>
      </c>
      <c r="G25" s="18">
        <f t="shared" si="0"/>
        <v>1.3358195989763975</v>
      </c>
      <c r="H25" s="18">
        <f t="shared" si="1"/>
        <v>1.0208494090682152</v>
      </c>
    </row>
    <row r="26" spans="1:15" s="53" customFormat="1" ht="14.25">
      <c r="A26" s="42" t="s">
        <v>38</v>
      </c>
      <c r="B26" s="25" t="s">
        <v>39</v>
      </c>
      <c r="C26" s="30" t="s">
        <v>40</v>
      </c>
      <c r="D26" s="31">
        <f>+D23/D21*100</f>
        <v>79.47407120183685</v>
      </c>
      <c r="E26" s="31">
        <f>+E23/E21*100</f>
        <v>45.19775275970234</v>
      </c>
      <c r="F26" s="31">
        <f>+F23/F21*100</f>
        <v>41.045196083080754</v>
      </c>
      <c r="G26" s="27">
        <f t="shared" si="0"/>
        <v>0.51646021730584368</v>
      </c>
      <c r="H26" s="27">
        <f t="shared" si="1"/>
        <v>0.90812470923722688</v>
      </c>
      <c r="K26" s="224"/>
      <c r="L26" s="62"/>
      <c r="M26" s="62"/>
      <c r="N26" s="62"/>
      <c r="O26" s="62"/>
    </row>
    <row r="27" spans="1:15" s="53" customFormat="1">
      <c r="A27" s="42" t="s">
        <v>41</v>
      </c>
      <c r="B27" s="22" t="s">
        <v>42</v>
      </c>
      <c r="C27" s="43" t="s">
        <v>9</v>
      </c>
      <c r="D27" s="28">
        <v>208890660</v>
      </c>
      <c r="E27" s="28">
        <v>412147719.63999999</v>
      </c>
      <c r="F27" s="28">
        <v>469361102</v>
      </c>
      <c r="G27" s="21">
        <f t="shared" si="0"/>
        <v>2.2469223947111852</v>
      </c>
      <c r="H27" s="21">
        <f t="shared" si="1"/>
        <v>1.1388176608376588</v>
      </c>
      <c r="K27" s="224"/>
      <c r="L27" s="62"/>
      <c r="M27" s="62"/>
      <c r="N27" s="62"/>
      <c r="O27" s="62"/>
    </row>
    <row r="28" spans="1:15">
      <c r="A28" s="42" t="s">
        <v>43</v>
      </c>
      <c r="B28" s="32" t="s">
        <v>44</v>
      </c>
      <c r="C28" s="43" t="s">
        <v>9</v>
      </c>
      <c r="D28" s="28">
        <v>79544665</v>
      </c>
      <c r="E28" s="28">
        <v>204965975.80000001</v>
      </c>
      <c r="F28" s="28">
        <v>148573545</v>
      </c>
      <c r="G28" s="21">
        <f t="shared" si="0"/>
        <v>1.8678002478230313</v>
      </c>
      <c r="H28" s="21">
        <f t="shared" si="1"/>
        <v>0.72486930779659675</v>
      </c>
      <c r="L28" s="61"/>
    </row>
    <row r="29" spans="1:15" ht="27" customHeight="1">
      <c r="A29" s="40" t="s">
        <v>45</v>
      </c>
      <c r="B29" s="33" t="s">
        <v>46</v>
      </c>
      <c r="C29" s="24" t="s">
        <v>9</v>
      </c>
      <c r="D29" s="23">
        <v>2230655</v>
      </c>
      <c r="E29" s="23">
        <v>4328420</v>
      </c>
      <c r="F29" s="23">
        <v>6967128</v>
      </c>
      <c r="G29" s="34">
        <f t="shared" si="0"/>
        <v>3.1233552476738895</v>
      </c>
      <c r="H29" s="34">
        <f t="shared" si="1"/>
        <v>1.6096238350252516</v>
      </c>
      <c r="K29" s="222">
        <f>K32+K36+K40</f>
        <v>288788537</v>
      </c>
      <c r="L29" s="222">
        <f>L32+L36+L40</f>
        <v>339985594</v>
      </c>
      <c r="M29" s="55">
        <v>0.78445299683208591</v>
      </c>
    </row>
    <row r="30" spans="1:15" ht="16.5" customHeight="1">
      <c r="A30" s="42" t="s">
        <v>47</v>
      </c>
      <c r="B30" s="32" t="s">
        <v>48</v>
      </c>
      <c r="C30" s="42"/>
      <c r="D30" s="35">
        <f>D29/D9*100</f>
        <v>2.0460616396310005</v>
      </c>
      <c r="E30" s="35">
        <f>E29/E9*100</f>
        <v>1.4988198787128453</v>
      </c>
      <c r="F30" s="35">
        <f>F29/F9*100</f>
        <v>2.0492421217117807</v>
      </c>
      <c r="G30" s="21">
        <f t="shared" si="0"/>
        <v>1.0015544409900348</v>
      </c>
      <c r="H30" s="21">
        <f t="shared" si="1"/>
        <v>1.3672370848668129</v>
      </c>
      <c r="L30" s="222">
        <f>F9</f>
        <v>339985594</v>
      </c>
      <c r="M30" s="55">
        <f>L30/L29</f>
        <v>1</v>
      </c>
    </row>
    <row r="31" spans="1:15" s="53" customFormat="1" ht="27" customHeight="1">
      <c r="A31" s="45" t="s">
        <v>49</v>
      </c>
      <c r="B31" s="36" t="s">
        <v>50</v>
      </c>
      <c r="C31" s="44" t="s">
        <v>51</v>
      </c>
      <c r="D31" s="37">
        <f>+D32+D33+D34</f>
        <v>89140.2</v>
      </c>
      <c r="E31" s="37">
        <f>E32+E33+E34</f>
        <v>128100</v>
      </c>
      <c r="F31" s="37">
        <f>+F32+F33+F34</f>
        <v>192035.1</v>
      </c>
      <c r="G31" s="18">
        <f t="shared" si="0"/>
        <v>2.1543041186804608</v>
      </c>
      <c r="H31" s="18">
        <f t="shared" si="1"/>
        <v>1.4991030444964872</v>
      </c>
      <c r="K31" s="225">
        <v>125300</v>
      </c>
      <c r="L31" s="225">
        <f>F31</f>
        <v>192035.1</v>
      </c>
      <c r="M31" s="62"/>
      <c r="N31" s="62"/>
      <c r="O31" s="62"/>
    </row>
    <row r="32" spans="1:15" ht="16.5" customHeight="1">
      <c r="A32" s="48" t="s">
        <v>52</v>
      </c>
      <c r="B32" s="32" t="s">
        <v>53</v>
      </c>
      <c r="C32" s="43" t="s">
        <v>51</v>
      </c>
      <c r="D32" s="28">
        <v>66902.399999999994</v>
      </c>
      <c r="E32" s="28">
        <v>29300</v>
      </c>
      <c r="F32" s="28">
        <v>62591.1</v>
      </c>
      <c r="G32" s="21">
        <f t="shared" si="0"/>
        <v>0.93555836561917072</v>
      </c>
      <c r="H32" s="21">
        <f t="shared" si="1"/>
        <v>2.1362150170648464</v>
      </c>
      <c r="K32" s="226">
        <v>251513969</v>
      </c>
      <c r="L32" s="222">
        <f>K32/K31*F31*$M$29</f>
        <v>302383842.87903541</v>
      </c>
    </row>
    <row r="33" spans="1:15" ht="16.5" customHeight="1">
      <c r="A33" s="42" t="s">
        <v>54</v>
      </c>
      <c r="B33" s="38" t="s">
        <v>55</v>
      </c>
      <c r="C33" s="43" t="s">
        <v>51</v>
      </c>
      <c r="D33" s="28"/>
      <c r="E33" s="28">
        <v>73100</v>
      </c>
      <c r="F33" s="28">
        <v>85152.5</v>
      </c>
      <c r="G33" s="21" t="e">
        <f t="shared" si="0"/>
        <v>#DIV/0!</v>
      </c>
      <c r="H33" s="21">
        <f t="shared" si="1"/>
        <v>1.1648768809849521</v>
      </c>
      <c r="K33" s="226"/>
      <c r="L33" s="226"/>
    </row>
    <row r="34" spans="1:15" ht="16.5" customHeight="1">
      <c r="A34" s="42" t="s">
        <v>56</v>
      </c>
      <c r="B34" s="38" t="s">
        <v>57</v>
      </c>
      <c r="C34" s="43" t="s">
        <v>51</v>
      </c>
      <c r="D34" s="28">
        <v>22237.8</v>
      </c>
      <c r="E34" s="28">
        <v>25700</v>
      </c>
      <c r="F34" s="28">
        <v>44291.5</v>
      </c>
      <c r="G34" s="21">
        <f t="shared" si="0"/>
        <v>1.9917213033663403</v>
      </c>
      <c r="H34" s="21">
        <f t="shared" si="1"/>
        <v>1.7234046692607004</v>
      </c>
      <c r="K34" s="226"/>
      <c r="L34" s="226"/>
    </row>
    <row r="35" spans="1:15" s="53" customFormat="1" ht="27" customHeight="1">
      <c r="A35" s="45" t="s">
        <v>58</v>
      </c>
      <c r="B35" s="36" t="s">
        <v>59</v>
      </c>
      <c r="C35" s="44" t="s">
        <v>51</v>
      </c>
      <c r="D35" s="37">
        <f>+D36+D37+D38</f>
        <v>654.70000000000005</v>
      </c>
      <c r="E35" s="37">
        <f>E36+E37+E38</f>
        <v>1210</v>
      </c>
      <c r="F35" s="37">
        <f>+F36+F37+F38</f>
        <v>1585.5</v>
      </c>
      <c r="G35" s="18">
        <f t="shared" si="0"/>
        <v>2.4217198716969603</v>
      </c>
      <c r="H35" s="18">
        <f t="shared" si="1"/>
        <v>1.3103305785123966</v>
      </c>
      <c r="K35" s="225">
        <v>1210</v>
      </c>
      <c r="L35" s="225">
        <f>F35</f>
        <v>1585.5</v>
      </c>
      <c r="M35" s="62"/>
      <c r="N35" s="62"/>
      <c r="O35" s="62"/>
    </row>
    <row r="36" spans="1:15" ht="16.5" customHeight="1">
      <c r="A36" s="47" t="s">
        <v>60</v>
      </c>
      <c r="B36" s="32" t="s">
        <v>53</v>
      </c>
      <c r="C36" s="43" t="s">
        <v>51</v>
      </c>
      <c r="D36" s="28">
        <v>100</v>
      </c>
      <c r="E36" s="28">
        <v>640</v>
      </c>
      <c r="F36" s="28">
        <v>809</v>
      </c>
      <c r="G36" s="21">
        <f t="shared" si="0"/>
        <v>8.09</v>
      </c>
      <c r="H36" s="21">
        <f t="shared" si="1"/>
        <v>1.2640625000000001</v>
      </c>
      <c r="K36" s="226">
        <v>29770189</v>
      </c>
      <c r="L36" s="222">
        <f>K36/K35*F35*$M$29</f>
        <v>30600561.414067108</v>
      </c>
    </row>
    <row r="37" spans="1:15" ht="16.5" customHeight="1">
      <c r="A37" s="42" t="s">
        <v>61</v>
      </c>
      <c r="B37" s="38" t="s">
        <v>55</v>
      </c>
      <c r="C37" s="43" t="s">
        <v>51</v>
      </c>
      <c r="D37" s="28"/>
      <c r="E37" s="28">
        <v>120</v>
      </c>
      <c r="F37" s="28">
        <v>194.9</v>
      </c>
      <c r="G37" s="21" t="e">
        <f t="shared" si="0"/>
        <v>#DIV/0!</v>
      </c>
      <c r="H37" s="21">
        <f t="shared" si="1"/>
        <v>1.6241666666666668</v>
      </c>
      <c r="K37" s="226"/>
      <c r="L37" s="226"/>
    </row>
    <row r="38" spans="1:15" ht="16.5" customHeight="1">
      <c r="A38" s="42" t="s">
        <v>62</v>
      </c>
      <c r="B38" s="38" t="s">
        <v>57</v>
      </c>
      <c r="C38" s="43" t="s">
        <v>51</v>
      </c>
      <c r="D38" s="28">
        <v>554.70000000000005</v>
      </c>
      <c r="E38" s="28">
        <v>450</v>
      </c>
      <c r="F38" s="28">
        <v>581.6</v>
      </c>
      <c r="G38" s="21">
        <f t="shared" si="0"/>
        <v>1.0484946818099874</v>
      </c>
      <c r="H38" s="21">
        <f t="shared" si="1"/>
        <v>1.2924444444444445</v>
      </c>
      <c r="K38" s="226"/>
      <c r="L38" s="226"/>
    </row>
    <row r="39" spans="1:15" s="53" customFormat="1" ht="30.75" customHeight="1">
      <c r="A39" s="45" t="s">
        <v>63</v>
      </c>
      <c r="B39" s="39" t="s">
        <v>64</v>
      </c>
      <c r="C39" s="44" t="s">
        <v>65</v>
      </c>
      <c r="D39" s="37">
        <f>+D40+D41+D42</f>
        <v>3893.1</v>
      </c>
      <c r="E39" s="37">
        <f>E40+E41+E42</f>
        <v>14500</v>
      </c>
      <c r="F39" s="37">
        <f>+F40+F41+F42</f>
        <v>17244.800000000003</v>
      </c>
      <c r="G39" s="18">
        <f t="shared" si="0"/>
        <v>4.4295805399296198</v>
      </c>
      <c r="H39" s="18">
        <f t="shared" si="1"/>
        <v>1.1892965517241381</v>
      </c>
      <c r="K39" s="225">
        <v>14500</v>
      </c>
      <c r="L39" s="225">
        <f>F39</f>
        <v>17244.800000000003</v>
      </c>
      <c r="M39" s="62"/>
      <c r="N39" s="62"/>
      <c r="O39" s="62"/>
    </row>
    <row r="40" spans="1:15" ht="16.5" customHeight="1">
      <c r="A40" s="47" t="s">
        <v>66</v>
      </c>
      <c r="B40" s="32" t="s">
        <v>53</v>
      </c>
      <c r="C40" s="43" t="s">
        <v>65</v>
      </c>
      <c r="D40" s="28">
        <v>3893.1</v>
      </c>
      <c r="E40" s="28">
        <v>4900</v>
      </c>
      <c r="F40" s="28">
        <v>8409</v>
      </c>
      <c r="G40" s="21">
        <f t="shared" si="0"/>
        <v>2.1599753409879017</v>
      </c>
      <c r="H40" s="21">
        <f t="shared" si="1"/>
        <v>1.7161224489795919</v>
      </c>
      <c r="K40" s="226">
        <v>7504379</v>
      </c>
      <c r="L40" s="222">
        <f>K40/K39*F39*$M$29</f>
        <v>7001189.7068975056</v>
      </c>
    </row>
    <row r="41" spans="1:15" ht="16.5" customHeight="1">
      <c r="A41" s="42" t="s">
        <v>67</v>
      </c>
      <c r="B41" s="38" t="s">
        <v>55</v>
      </c>
      <c r="C41" s="43" t="s">
        <v>65</v>
      </c>
      <c r="D41" s="28"/>
      <c r="E41" s="28">
        <v>9600</v>
      </c>
      <c r="F41" s="28">
        <v>8131.9</v>
      </c>
      <c r="G41" s="21" t="e">
        <f t="shared" si="0"/>
        <v>#DIV/0!</v>
      </c>
      <c r="H41" s="21">
        <f t="shared" si="1"/>
        <v>0.84707291666666662</v>
      </c>
    </row>
    <row r="42" spans="1:15" ht="16.5" customHeight="1">
      <c r="A42" s="42" t="s">
        <v>68</v>
      </c>
      <c r="B42" s="38" t="s">
        <v>57</v>
      </c>
      <c r="C42" s="43" t="s">
        <v>51</v>
      </c>
      <c r="D42" s="28"/>
      <c r="E42" s="28"/>
      <c r="F42" s="28">
        <v>703.9</v>
      </c>
      <c r="G42" s="21" t="e">
        <f t="shared" si="0"/>
        <v>#DIV/0!</v>
      </c>
      <c r="H42" s="21" t="e">
        <f t="shared" si="1"/>
        <v>#DIV/0!</v>
      </c>
    </row>
    <row r="43" spans="1:15">
      <c r="B43" s="56"/>
      <c r="C43" s="57"/>
      <c r="D43" s="58"/>
      <c r="E43" s="58"/>
      <c r="F43" s="58"/>
      <c r="G43" s="58"/>
      <c r="H43" s="58"/>
    </row>
    <row r="44" spans="1:15">
      <c r="B44" s="56"/>
      <c r="C44" s="57"/>
      <c r="D44" s="58"/>
      <c r="E44" s="58"/>
      <c r="F44" s="58"/>
      <c r="G44" s="58"/>
      <c r="H44" s="58"/>
    </row>
    <row r="45" spans="1:15">
      <c r="B45" s="54" t="s">
        <v>69</v>
      </c>
      <c r="G45" s="54" t="s">
        <v>70</v>
      </c>
    </row>
    <row r="46" spans="1:15">
      <c r="B46" s="54"/>
    </row>
    <row r="47" spans="1:15">
      <c r="B47" s="54" t="s">
        <v>78</v>
      </c>
      <c r="G47" s="59" t="s">
        <v>71</v>
      </c>
    </row>
    <row r="48" spans="1:15">
      <c r="B48" s="54"/>
    </row>
    <row r="49" spans="2:7">
      <c r="B49" s="54" t="s">
        <v>72</v>
      </c>
      <c r="G49" s="54" t="s">
        <v>73</v>
      </c>
    </row>
    <row r="50" spans="2:7">
      <c r="B50" s="54"/>
    </row>
    <row r="51" spans="2:7">
      <c r="B51" s="54" t="s">
        <v>74</v>
      </c>
      <c r="G51" s="60" t="s">
        <v>77</v>
      </c>
    </row>
  </sheetData>
  <mergeCells count="6">
    <mergeCell ref="A3:H3"/>
    <mergeCell ref="A4:H4"/>
    <mergeCell ref="A6:A7"/>
    <mergeCell ref="B6:B7"/>
    <mergeCell ref="C6:C7"/>
    <mergeCell ref="D6:H6"/>
  </mergeCells>
  <conditionalFormatting sqref="A45:B50 E45:E51 A40:A42 A3:A4 C40:C42 A51 H51 F31:H32 G45:H50 F35:H35 F39:H39 G36:H38 G40:H42 H1 G14:H14 D7:H8 E10:E15 E22:H23 A8:C39 G9:H10 A1:F1 A6:H6 A43:H44 A52:H1048576 A2:H2 G24:H25 E17:H19 G16:H16 G20:H21 G33:H34 E26:H30 G12:I12 F11:I11 I1:I10 I13:I1048576 F13:H13 F15:H15 J33:J34 J1:XFD28 J41:XFD1048576 J35:K40 J29:K32 M29:XFD40">
    <cfRule type="containsErrors" dxfId="43" priority="576">
      <formula>ISERROR(A1)</formula>
    </cfRule>
  </conditionalFormatting>
  <conditionalFormatting sqref="B40">
    <cfRule type="containsErrors" dxfId="42" priority="545">
      <formula>ISERROR(B40)</formula>
    </cfRule>
  </conditionalFormatting>
  <conditionalFormatting sqref="B41:B42">
    <cfRule type="containsErrors" dxfId="41" priority="544">
      <formula>ISERROR(B41)</formula>
    </cfRule>
  </conditionalFormatting>
  <conditionalFormatting sqref="B51">
    <cfRule type="containsErrors" dxfId="40" priority="112">
      <formula>ISERROR(B51)</formula>
    </cfRule>
  </conditionalFormatting>
  <conditionalFormatting sqref="E31 E35 E39">
    <cfRule type="containsErrors" dxfId="39" priority="96">
      <formula>ISERROR(E31)</formula>
    </cfRule>
  </conditionalFormatting>
  <conditionalFormatting sqref="E32">
    <cfRule type="containsErrors" dxfId="38" priority="72">
      <formula>ISERROR(E32)</formula>
    </cfRule>
  </conditionalFormatting>
  <conditionalFormatting sqref="F33:F34">
    <cfRule type="containsErrors" dxfId="37" priority="71">
      <formula>ISERROR(F33)</formula>
    </cfRule>
  </conditionalFormatting>
  <conditionalFormatting sqref="E33:E34">
    <cfRule type="containsErrors" dxfId="36" priority="70">
      <formula>ISERROR(E33)</formula>
    </cfRule>
  </conditionalFormatting>
  <conditionalFormatting sqref="F36:F38">
    <cfRule type="containsErrors" dxfId="35" priority="69">
      <formula>ISERROR(F36)</formula>
    </cfRule>
  </conditionalFormatting>
  <conditionalFormatting sqref="E36:E38">
    <cfRule type="containsErrors" dxfId="34" priority="68">
      <formula>ISERROR(E36)</formula>
    </cfRule>
  </conditionalFormatting>
  <conditionalFormatting sqref="F40:F42">
    <cfRule type="containsErrors" dxfId="33" priority="67">
      <formula>ISERROR(F40)</formula>
    </cfRule>
  </conditionalFormatting>
  <conditionalFormatting sqref="E40:E42">
    <cfRule type="containsErrors" dxfId="32" priority="66">
      <formula>ISERROR(E40)</formula>
    </cfRule>
  </conditionalFormatting>
  <conditionalFormatting sqref="G1">
    <cfRule type="containsErrors" dxfId="31" priority="63">
      <formula>ISERROR(G1)</formula>
    </cfRule>
  </conditionalFormatting>
  <conditionalFormatting sqref="F10">
    <cfRule type="containsErrors" dxfId="30" priority="62">
      <formula>ISERROR(F10)</formula>
    </cfRule>
  </conditionalFormatting>
  <conditionalFormatting sqref="F12">
    <cfRule type="containsErrors" dxfId="29" priority="61">
      <formula>ISERROR(F12)</formula>
    </cfRule>
  </conditionalFormatting>
  <conditionalFormatting sqref="F14">
    <cfRule type="containsErrors" dxfId="28" priority="60">
      <formula>ISERROR(F14)</formula>
    </cfRule>
  </conditionalFormatting>
  <conditionalFormatting sqref="D10:D15 D17:D19">
    <cfRule type="containsErrors" dxfId="27" priority="46">
      <formula>ISERROR(D10)</formula>
    </cfRule>
  </conditionalFormatting>
  <conditionalFormatting sqref="D32:D34 D22:D23 D36:D38 D40:D42">
    <cfRule type="containsErrors" dxfId="26" priority="45">
      <formula>ISERROR(D22)</formula>
    </cfRule>
  </conditionalFormatting>
  <conditionalFormatting sqref="D27:D29">
    <cfRule type="containsErrors" dxfId="25" priority="44">
      <formula>ISERROR(D27)</formula>
    </cfRule>
  </conditionalFormatting>
  <conditionalFormatting sqref="D9">
    <cfRule type="containsErrors" dxfId="24" priority="43">
      <formula>ISERROR(D9)</formula>
    </cfRule>
  </conditionalFormatting>
  <conditionalFormatting sqref="D39">
    <cfRule type="containsErrors" dxfId="23" priority="34">
      <formula>ISERROR(D39)</formula>
    </cfRule>
  </conditionalFormatting>
  <conditionalFormatting sqref="D16">
    <cfRule type="containsErrors" dxfId="22" priority="42">
      <formula>ISERROR(D16)</formula>
    </cfRule>
  </conditionalFormatting>
  <conditionalFormatting sqref="D20">
    <cfRule type="containsErrors" dxfId="21" priority="41">
      <formula>ISERROR(D20)</formula>
    </cfRule>
  </conditionalFormatting>
  <conditionalFormatting sqref="D26">
    <cfRule type="containsErrors" dxfId="20" priority="38">
      <formula>ISERROR(D26)</formula>
    </cfRule>
  </conditionalFormatting>
  <conditionalFormatting sqref="D30">
    <cfRule type="containsErrors" dxfId="19" priority="37">
      <formula>ISERROR(D30)</formula>
    </cfRule>
  </conditionalFormatting>
  <conditionalFormatting sqref="D31">
    <cfRule type="containsErrors" dxfId="18" priority="36">
      <formula>ISERROR(D31)</formula>
    </cfRule>
  </conditionalFormatting>
  <conditionalFormatting sqref="D35">
    <cfRule type="containsErrors" dxfId="17" priority="35">
      <formula>ISERROR(D35)</formula>
    </cfRule>
  </conditionalFormatting>
  <conditionalFormatting sqref="D21">
    <cfRule type="containsErrors" dxfId="16" priority="33">
      <formula>ISERROR(D21)</formula>
    </cfRule>
  </conditionalFormatting>
  <conditionalFormatting sqref="E9">
    <cfRule type="containsErrors" dxfId="15" priority="32">
      <formula>ISERROR(E9)</formula>
    </cfRule>
  </conditionalFormatting>
  <conditionalFormatting sqref="E16">
    <cfRule type="containsErrors" dxfId="14" priority="31">
      <formula>ISERROR(E16)</formula>
    </cfRule>
  </conditionalFormatting>
  <conditionalFormatting sqref="E21">
    <cfRule type="containsErrors" dxfId="13" priority="29">
      <formula>ISERROR(E21)</formula>
    </cfRule>
  </conditionalFormatting>
  <conditionalFormatting sqref="E20">
    <cfRule type="containsErrors" dxfId="12" priority="28">
      <formula>ISERROR(E20)</formula>
    </cfRule>
  </conditionalFormatting>
  <conditionalFormatting sqref="E24">
    <cfRule type="containsErrors" dxfId="11" priority="27">
      <formula>ISERROR(E24)</formula>
    </cfRule>
  </conditionalFormatting>
  <conditionalFormatting sqref="E25">
    <cfRule type="containsErrors" dxfId="10" priority="26">
      <formula>ISERROR(E25)</formula>
    </cfRule>
  </conditionalFormatting>
  <conditionalFormatting sqref="F9">
    <cfRule type="containsErrors" dxfId="9" priority="13">
      <formula>ISERROR(F9)</formula>
    </cfRule>
  </conditionalFormatting>
  <conditionalFormatting sqref="F16">
    <cfRule type="containsErrors" dxfId="8" priority="12">
      <formula>ISERROR(F16)</formula>
    </cfRule>
  </conditionalFormatting>
  <conditionalFormatting sqref="F20">
    <cfRule type="containsErrors" dxfId="7" priority="11">
      <formula>ISERROR(F20)</formula>
    </cfRule>
  </conditionalFormatting>
  <conditionalFormatting sqref="F21">
    <cfRule type="containsErrors" dxfId="6" priority="10">
      <formula>ISERROR(F21)</formula>
    </cfRule>
  </conditionalFormatting>
  <conditionalFormatting sqref="D24">
    <cfRule type="containsErrors" dxfId="5" priority="5">
      <formula>ISERROR(D24)</formula>
    </cfRule>
  </conditionalFormatting>
  <conditionalFormatting sqref="D25">
    <cfRule type="containsErrors" dxfId="4" priority="4">
      <formula>ISERROR(D25)</formula>
    </cfRule>
  </conditionalFormatting>
  <conditionalFormatting sqref="F24">
    <cfRule type="containsErrors" dxfId="3" priority="7">
      <formula>ISERROR(F24)</formula>
    </cfRule>
  </conditionalFormatting>
  <conditionalFormatting sqref="F25">
    <cfRule type="containsErrors" dxfId="2" priority="6">
      <formula>ISERROR(F25)</formula>
    </cfRule>
  </conditionalFormatting>
  <conditionalFormatting sqref="L29:L32 L35:L40">
    <cfRule type="containsErrors" dxfId="0" priority="1">
      <formula>ISERROR(L29)</formula>
    </cfRule>
  </conditionalFormatting>
  <pageMargins left="0.39370078740157483" right="0.19685039370078741" top="0.19685039370078741" bottom="0.19685039370078741" header="0.51181102362204722" footer="0.51181102362204722"/>
  <pageSetup paperSize="9" scale="70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CCAB-81F9-42EB-B3DC-AA51BCB2DE80}">
  <dimension ref="A1:H24"/>
  <sheetViews>
    <sheetView zoomScale="90" zoomScaleNormal="90" workbookViewId="0">
      <selection activeCell="D6" sqref="D6:H13"/>
    </sheetView>
  </sheetViews>
  <sheetFormatPr defaultRowHeight="12.75"/>
  <cols>
    <col min="1" max="1" width="5.28515625" style="79" customWidth="1"/>
    <col min="2" max="2" width="49.42578125" style="80" customWidth="1"/>
    <col min="3" max="3" width="12.140625" style="67" customWidth="1"/>
    <col min="4" max="4" width="13.7109375" style="79" customWidth="1"/>
    <col min="5" max="6" width="16.28515625" style="79" customWidth="1"/>
    <col min="7" max="7" width="13.42578125" style="79" customWidth="1"/>
    <col min="8" max="8" width="12.7109375" style="79" customWidth="1"/>
    <col min="9" max="9" width="9.140625" style="64"/>
    <col min="10" max="10" width="11.5703125" style="64" bestFit="1" customWidth="1"/>
    <col min="11" max="245" width="9.140625" style="64"/>
    <col min="246" max="246" width="7" style="64" customWidth="1"/>
    <col min="247" max="247" width="62" style="64" customWidth="1"/>
    <col min="248" max="248" width="11.42578125" style="64" customWidth="1"/>
    <col min="249" max="249" width="12.28515625" style="64" customWidth="1"/>
    <col min="250" max="250" width="11" style="64" customWidth="1"/>
    <col min="251" max="251" width="10.7109375" style="64" customWidth="1"/>
    <col min="252" max="252" width="11.7109375" style="64" customWidth="1"/>
    <col min="253" max="253" width="10.85546875" style="64" customWidth="1"/>
    <col min="254" max="254" width="9.140625" style="64"/>
    <col min="255" max="255" width="10.7109375" style="64" customWidth="1"/>
    <col min="256" max="256" width="11.140625" style="64" customWidth="1"/>
    <col min="257" max="501" width="9.140625" style="64"/>
    <col min="502" max="502" width="7" style="64" customWidth="1"/>
    <col min="503" max="503" width="62" style="64" customWidth="1"/>
    <col min="504" max="504" width="11.42578125" style="64" customWidth="1"/>
    <col min="505" max="505" width="12.28515625" style="64" customWidth="1"/>
    <col min="506" max="506" width="11" style="64" customWidth="1"/>
    <col min="507" max="507" width="10.7109375" style="64" customWidth="1"/>
    <col min="508" max="508" width="11.7109375" style="64" customWidth="1"/>
    <col min="509" max="509" width="10.85546875" style="64" customWidth="1"/>
    <col min="510" max="510" width="9.140625" style="64"/>
    <col min="511" max="511" width="10.7109375" style="64" customWidth="1"/>
    <col min="512" max="512" width="11.140625" style="64" customWidth="1"/>
    <col min="513" max="757" width="9.140625" style="64"/>
    <col min="758" max="758" width="7" style="64" customWidth="1"/>
    <col min="759" max="759" width="62" style="64" customWidth="1"/>
    <col min="760" max="760" width="11.42578125" style="64" customWidth="1"/>
    <col min="761" max="761" width="12.28515625" style="64" customWidth="1"/>
    <col min="762" max="762" width="11" style="64" customWidth="1"/>
    <col min="763" max="763" width="10.7109375" style="64" customWidth="1"/>
    <col min="764" max="764" width="11.7109375" style="64" customWidth="1"/>
    <col min="765" max="765" width="10.85546875" style="64" customWidth="1"/>
    <col min="766" max="766" width="9.140625" style="64"/>
    <col min="767" max="767" width="10.7109375" style="64" customWidth="1"/>
    <col min="768" max="768" width="11.140625" style="64" customWidth="1"/>
    <col min="769" max="1013" width="9.140625" style="64"/>
    <col min="1014" max="1014" width="7" style="64" customWidth="1"/>
    <col min="1015" max="1015" width="62" style="64" customWidth="1"/>
    <col min="1016" max="1016" width="11.42578125" style="64" customWidth="1"/>
    <col min="1017" max="1017" width="12.28515625" style="64" customWidth="1"/>
    <col min="1018" max="1018" width="11" style="64" customWidth="1"/>
    <col min="1019" max="1019" width="10.7109375" style="64" customWidth="1"/>
    <col min="1020" max="1020" width="11.7109375" style="64" customWidth="1"/>
    <col min="1021" max="1021" width="10.85546875" style="64" customWidth="1"/>
    <col min="1022" max="1022" width="9.140625" style="64"/>
    <col min="1023" max="1023" width="10.7109375" style="64" customWidth="1"/>
    <col min="1024" max="1024" width="11.140625" style="64" customWidth="1"/>
    <col min="1025" max="1269" width="9.140625" style="64"/>
    <col min="1270" max="1270" width="7" style="64" customWidth="1"/>
    <col min="1271" max="1271" width="62" style="64" customWidth="1"/>
    <col min="1272" max="1272" width="11.42578125" style="64" customWidth="1"/>
    <col min="1273" max="1273" width="12.28515625" style="64" customWidth="1"/>
    <col min="1274" max="1274" width="11" style="64" customWidth="1"/>
    <col min="1275" max="1275" width="10.7109375" style="64" customWidth="1"/>
    <col min="1276" max="1276" width="11.7109375" style="64" customWidth="1"/>
    <col min="1277" max="1277" width="10.85546875" style="64" customWidth="1"/>
    <col min="1278" max="1278" width="9.140625" style="64"/>
    <col min="1279" max="1279" width="10.7109375" style="64" customWidth="1"/>
    <col min="1280" max="1280" width="11.140625" style="64" customWidth="1"/>
    <col min="1281" max="1525" width="9.140625" style="64"/>
    <col min="1526" max="1526" width="7" style="64" customWidth="1"/>
    <col min="1527" max="1527" width="62" style="64" customWidth="1"/>
    <col min="1528" max="1528" width="11.42578125" style="64" customWidth="1"/>
    <col min="1529" max="1529" width="12.28515625" style="64" customWidth="1"/>
    <col min="1530" max="1530" width="11" style="64" customWidth="1"/>
    <col min="1531" max="1531" width="10.7109375" style="64" customWidth="1"/>
    <col min="1532" max="1532" width="11.7109375" style="64" customWidth="1"/>
    <col min="1533" max="1533" width="10.85546875" style="64" customWidth="1"/>
    <col min="1534" max="1534" width="9.140625" style="64"/>
    <col min="1535" max="1535" width="10.7109375" style="64" customWidth="1"/>
    <col min="1536" max="1536" width="11.140625" style="64" customWidth="1"/>
    <col min="1537" max="1781" width="9.140625" style="64"/>
    <col min="1782" max="1782" width="7" style="64" customWidth="1"/>
    <col min="1783" max="1783" width="62" style="64" customWidth="1"/>
    <col min="1784" max="1784" width="11.42578125" style="64" customWidth="1"/>
    <col min="1785" max="1785" width="12.28515625" style="64" customWidth="1"/>
    <col min="1786" max="1786" width="11" style="64" customWidth="1"/>
    <col min="1787" max="1787" width="10.7109375" style="64" customWidth="1"/>
    <col min="1788" max="1788" width="11.7109375" style="64" customWidth="1"/>
    <col min="1789" max="1789" width="10.85546875" style="64" customWidth="1"/>
    <col min="1790" max="1790" width="9.140625" style="64"/>
    <col min="1791" max="1791" width="10.7109375" style="64" customWidth="1"/>
    <col min="1792" max="1792" width="11.140625" style="64" customWidth="1"/>
    <col min="1793" max="2037" width="9.140625" style="64"/>
    <col min="2038" max="2038" width="7" style="64" customWidth="1"/>
    <col min="2039" max="2039" width="62" style="64" customWidth="1"/>
    <col min="2040" max="2040" width="11.42578125" style="64" customWidth="1"/>
    <col min="2041" max="2041" width="12.28515625" style="64" customWidth="1"/>
    <col min="2042" max="2042" width="11" style="64" customWidth="1"/>
    <col min="2043" max="2043" width="10.7109375" style="64" customWidth="1"/>
    <col min="2044" max="2044" width="11.7109375" style="64" customWidth="1"/>
    <col min="2045" max="2045" width="10.85546875" style="64" customWidth="1"/>
    <col min="2046" max="2046" width="9.140625" style="64"/>
    <col min="2047" max="2047" width="10.7109375" style="64" customWidth="1"/>
    <col min="2048" max="2048" width="11.140625" style="64" customWidth="1"/>
    <col min="2049" max="2293" width="9.140625" style="64"/>
    <col min="2294" max="2294" width="7" style="64" customWidth="1"/>
    <col min="2295" max="2295" width="62" style="64" customWidth="1"/>
    <col min="2296" max="2296" width="11.42578125" style="64" customWidth="1"/>
    <col min="2297" max="2297" width="12.28515625" style="64" customWidth="1"/>
    <col min="2298" max="2298" width="11" style="64" customWidth="1"/>
    <col min="2299" max="2299" width="10.7109375" style="64" customWidth="1"/>
    <col min="2300" max="2300" width="11.7109375" style="64" customWidth="1"/>
    <col min="2301" max="2301" width="10.85546875" style="64" customWidth="1"/>
    <col min="2302" max="2302" width="9.140625" style="64"/>
    <col min="2303" max="2303" width="10.7109375" style="64" customWidth="1"/>
    <col min="2304" max="2304" width="11.140625" style="64" customWidth="1"/>
    <col min="2305" max="2549" width="9.140625" style="64"/>
    <col min="2550" max="2550" width="7" style="64" customWidth="1"/>
    <col min="2551" max="2551" width="62" style="64" customWidth="1"/>
    <col min="2552" max="2552" width="11.42578125" style="64" customWidth="1"/>
    <col min="2553" max="2553" width="12.28515625" style="64" customWidth="1"/>
    <col min="2554" max="2554" width="11" style="64" customWidth="1"/>
    <col min="2555" max="2555" width="10.7109375" style="64" customWidth="1"/>
    <col min="2556" max="2556" width="11.7109375" style="64" customWidth="1"/>
    <col min="2557" max="2557" width="10.85546875" style="64" customWidth="1"/>
    <col min="2558" max="2558" width="9.140625" style="64"/>
    <col min="2559" max="2559" width="10.7109375" style="64" customWidth="1"/>
    <col min="2560" max="2560" width="11.140625" style="64" customWidth="1"/>
    <col min="2561" max="2805" width="9.140625" style="64"/>
    <col min="2806" max="2806" width="7" style="64" customWidth="1"/>
    <col min="2807" max="2807" width="62" style="64" customWidth="1"/>
    <col min="2808" max="2808" width="11.42578125" style="64" customWidth="1"/>
    <col min="2809" max="2809" width="12.28515625" style="64" customWidth="1"/>
    <col min="2810" max="2810" width="11" style="64" customWidth="1"/>
    <col min="2811" max="2811" width="10.7109375" style="64" customWidth="1"/>
    <col min="2812" max="2812" width="11.7109375" style="64" customWidth="1"/>
    <col min="2813" max="2813" width="10.85546875" style="64" customWidth="1"/>
    <col min="2814" max="2814" width="9.140625" style="64"/>
    <col min="2815" max="2815" width="10.7109375" style="64" customWidth="1"/>
    <col min="2816" max="2816" width="11.140625" style="64" customWidth="1"/>
    <col min="2817" max="3061" width="9.140625" style="64"/>
    <col min="3062" max="3062" width="7" style="64" customWidth="1"/>
    <col min="3063" max="3063" width="62" style="64" customWidth="1"/>
    <col min="3064" max="3064" width="11.42578125" style="64" customWidth="1"/>
    <col min="3065" max="3065" width="12.28515625" style="64" customWidth="1"/>
    <col min="3066" max="3066" width="11" style="64" customWidth="1"/>
    <col min="3067" max="3067" width="10.7109375" style="64" customWidth="1"/>
    <col min="3068" max="3068" width="11.7109375" style="64" customWidth="1"/>
    <col min="3069" max="3069" width="10.85546875" style="64" customWidth="1"/>
    <col min="3070" max="3070" width="9.140625" style="64"/>
    <col min="3071" max="3071" width="10.7109375" style="64" customWidth="1"/>
    <col min="3072" max="3072" width="11.140625" style="64" customWidth="1"/>
    <col min="3073" max="3317" width="9.140625" style="64"/>
    <col min="3318" max="3318" width="7" style="64" customWidth="1"/>
    <col min="3319" max="3319" width="62" style="64" customWidth="1"/>
    <col min="3320" max="3320" width="11.42578125" style="64" customWidth="1"/>
    <col min="3321" max="3321" width="12.28515625" style="64" customWidth="1"/>
    <col min="3322" max="3322" width="11" style="64" customWidth="1"/>
    <col min="3323" max="3323" width="10.7109375" style="64" customWidth="1"/>
    <col min="3324" max="3324" width="11.7109375" style="64" customWidth="1"/>
    <col min="3325" max="3325" width="10.85546875" style="64" customWidth="1"/>
    <col min="3326" max="3326" width="9.140625" style="64"/>
    <col min="3327" max="3327" width="10.7109375" style="64" customWidth="1"/>
    <col min="3328" max="3328" width="11.140625" style="64" customWidth="1"/>
    <col min="3329" max="3573" width="9.140625" style="64"/>
    <col min="3574" max="3574" width="7" style="64" customWidth="1"/>
    <col min="3575" max="3575" width="62" style="64" customWidth="1"/>
    <col min="3576" max="3576" width="11.42578125" style="64" customWidth="1"/>
    <col min="3577" max="3577" width="12.28515625" style="64" customWidth="1"/>
    <col min="3578" max="3578" width="11" style="64" customWidth="1"/>
    <col min="3579" max="3579" width="10.7109375" style="64" customWidth="1"/>
    <col min="3580" max="3580" width="11.7109375" style="64" customWidth="1"/>
    <col min="3581" max="3581" width="10.85546875" style="64" customWidth="1"/>
    <col min="3582" max="3582" width="9.140625" style="64"/>
    <col min="3583" max="3583" width="10.7109375" style="64" customWidth="1"/>
    <col min="3584" max="3584" width="11.140625" style="64" customWidth="1"/>
    <col min="3585" max="3829" width="9.140625" style="64"/>
    <col min="3830" max="3830" width="7" style="64" customWidth="1"/>
    <col min="3831" max="3831" width="62" style="64" customWidth="1"/>
    <col min="3832" max="3832" width="11.42578125" style="64" customWidth="1"/>
    <col min="3833" max="3833" width="12.28515625" style="64" customWidth="1"/>
    <col min="3834" max="3834" width="11" style="64" customWidth="1"/>
    <col min="3835" max="3835" width="10.7109375" style="64" customWidth="1"/>
    <col min="3836" max="3836" width="11.7109375" style="64" customWidth="1"/>
    <col min="3837" max="3837" width="10.85546875" style="64" customWidth="1"/>
    <col min="3838" max="3838" width="9.140625" style="64"/>
    <col min="3839" max="3839" width="10.7109375" style="64" customWidth="1"/>
    <col min="3840" max="3840" width="11.140625" style="64" customWidth="1"/>
    <col min="3841" max="4085" width="9.140625" style="64"/>
    <col min="4086" max="4086" width="7" style="64" customWidth="1"/>
    <col min="4087" max="4087" width="62" style="64" customWidth="1"/>
    <col min="4088" max="4088" width="11.42578125" style="64" customWidth="1"/>
    <col min="4089" max="4089" width="12.28515625" style="64" customWidth="1"/>
    <col min="4090" max="4090" width="11" style="64" customWidth="1"/>
    <col min="4091" max="4091" width="10.7109375" style="64" customWidth="1"/>
    <col min="4092" max="4092" width="11.7109375" style="64" customWidth="1"/>
    <col min="4093" max="4093" width="10.85546875" style="64" customWidth="1"/>
    <col min="4094" max="4094" width="9.140625" style="64"/>
    <col min="4095" max="4095" width="10.7109375" style="64" customWidth="1"/>
    <col min="4096" max="4096" width="11.140625" style="64" customWidth="1"/>
    <col min="4097" max="4341" width="9.140625" style="64"/>
    <col min="4342" max="4342" width="7" style="64" customWidth="1"/>
    <col min="4343" max="4343" width="62" style="64" customWidth="1"/>
    <col min="4344" max="4344" width="11.42578125" style="64" customWidth="1"/>
    <col min="4345" max="4345" width="12.28515625" style="64" customWidth="1"/>
    <col min="4346" max="4346" width="11" style="64" customWidth="1"/>
    <col min="4347" max="4347" width="10.7109375" style="64" customWidth="1"/>
    <col min="4348" max="4348" width="11.7109375" style="64" customWidth="1"/>
    <col min="4349" max="4349" width="10.85546875" style="64" customWidth="1"/>
    <col min="4350" max="4350" width="9.140625" style="64"/>
    <col min="4351" max="4351" width="10.7109375" style="64" customWidth="1"/>
    <col min="4352" max="4352" width="11.140625" style="64" customWidth="1"/>
    <col min="4353" max="4597" width="9.140625" style="64"/>
    <col min="4598" max="4598" width="7" style="64" customWidth="1"/>
    <col min="4599" max="4599" width="62" style="64" customWidth="1"/>
    <col min="4600" max="4600" width="11.42578125" style="64" customWidth="1"/>
    <col min="4601" max="4601" width="12.28515625" style="64" customWidth="1"/>
    <col min="4602" max="4602" width="11" style="64" customWidth="1"/>
    <col min="4603" max="4603" width="10.7109375" style="64" customWidth="1"/>
    <col min="4604" max="4604" width="11.7109375" style="64" customWidth="1"/>
    <col min="4605" max="4605" width="10.85546875" style="64" customWidth="1"/>
    <col min="4606" max="4606" width="9.140625" style="64"/>
    <col min="4607" max="4607" width="10.7109375" style="64" customWidth="1"/>
    <col min="4608" max="4608" width="11.140625" style="64" customWidth="1"/>
    <col min="4609" max="4853" width="9.140625" style="64"/>
    <col min="4854" max="4854" width="7" style="64" customWidth="1"/>
    <col min="4855" max="4855" width="62" style="64" customWidth="1"/>
    <col min="4856" max="4856" width="11.42578125" style="64" customWidth="1"/>
    <col min="4857" max="4857" width="12.28515625" style="64" customWidth="1"/>
    <col min="4858" max="4858" width="11" style="64" customWidth="1"/>
    <col min="4859" max="4859" width="10.7109375" style="64" customWidth="1"/>
    <col min="4860" max="4860" width="11.7109375" style="64" customWidth="1"/>
    <col min="4861" max="4861" width="10.85546875" style="64" customWidth="1"/>
    <col min="4862" max="4862" width="9.140625" style="64"/>
    <col min="4863" max="4863" width="10.7109375" style="64" customWidth="1"/>
    <col min="4864" max="4864" width="11.140625" style="64" customWidth="1"/>
    <col min="4865" max="5109" width="9.140625" style="64"/>
    <col min="5110" max="5110" width="7" style="64" customWidth="1"/>
    <col min="5111" max="5111" width="62" style="64" customWidth="1"/>
    <col min="5112" max="5112" width="11.42578125" style="64" customWidth="1"/>
    <col min="5113" max="5113" width="12.28515625" style="64" customWidth="1"/>
    <col min="5114" max="5114" width="11" style="64" customWidth="1"/>
    <col min="5115" max="5115" width="10.7109375" style="64" customWidth="1"/>
    <col min="5116" max="5116" width="11.7109375" style="64" customWidth="1"/>
    <col min="5117" max="5117" width="10.85546875" style="64" customWidth="1"/>
    <col min="5118" max="5118" width="9.140625" style="64"/>
    <col min="5119" max="5119" width="10.7109375" style="64" customWidth="1"/>
    <col min="5120" max="5120" width="11.140625" style="64" customWidth="1"/>
    <col min="5121" max="5365" width="9.140625" style="64"/>
    <col min="5366" max="5366" width="7" style="64" customWidth="1"/>
    <col min="5367" max="5367" width="62" style="64" customWidth="1"/>
    <col min="5368" max="5368" width="11.42578125" style="64" customWidth="1"/>
    <col min="5369" max="5369" width="12.28515625" style="64" customWidth="1"/>
    <col min="5370" max="5370" width="11" style="64" customWidth="1"/>
    <col min="5371" max="5371" width="10.7109375" style="64" customWidth="1"/>
    <col min="5372" max="5372" width="11.7109375" style="64" customWidth="1"/>
    <col min="5373" max="5373" width="10.85546875" style="64" customWidth="1"/>
    <col min="5374" max="5374" width="9.140625" style="64"/>
    <col min="5375" max="5375" width="10.7109375" style="64" customWidth="1"/>
    <col min="5376" max="5376" width="11.140625" style="64" customWidth="1"/>
    <col min="5377" max="5621" width="9.140625" style="64"/>
    <col min="5622" max="5622" width="7" style="64" customWidth="1"/>
    <col min="5623" max="5623" width="62" style="64" customWidth="1"/>
    <col min="5624" max="5624" width="11.42578125" style="64" customWidth="1"/>
    <col min="5625" max="5625" width="12.28515625" style="64" customWidth="1"/>
    <col min="5626" max="5626" width="11" style="64" customWidth="1"/>
    <col min="5627" max="5627" width="10.7109375" style="64" customWidth="1"/>
    <col min="5628" max="5628" width="11.7109375" style="64" customWidth="1"/>
    <col min="5629" max="5629" width="10.85546875" style="64" customWidth="1"/>
    <col min="5630" max="5630" width="9.140625" style="64"/>
    <col min="5631" max="5631" width="10.7109375" style="64" customWidth="1"/>
    <col min="5632" max="5632" width="11.140625" style="64" customWidth="1"/>
    <col min="5633" max="5877" width="9.140625" style="64"/>
    <col min="5878" max="5878" width="7" style="64" customWidth="1"/>
    <col min="5879" max="5879" width="62" style="64" customWidth="1"/>
    <col min="5880" max="5880" width="11.42578125" style="64" customWidth="1"/>
    <col min="5881" max="5881" width="12.28515625" style="64" customWidth="1"/>
    <col min="5882" max="5882" width="11" style="64" customWidth="1"/>
    <col min="5883" max="5883" width="10.7109375" style="64" customWidth="1"/>
    <col min="5884" max="5884" width="11.7109375" style="64" customWidth="1"/>
    <col min="5885" max="5885" width="10.85546875" style="64" customWidth="1"/>
    <col min="5886" max="5886" width="9.140625" style="64"/>
    <col min="5887" max="5887" width="10.7109375" style="64" customWidth="1"/>
    <col min="5888" max="5888" width="11.140625" style="64" customWidth="1"/>
    <col min="5889" max="6133" width="9.140625" style="64"/>
    <col min="6134" max="6134" width="7" style="64" customWidth="1"/>
    <col min="6135" max="6135" width="62" style="64" customWidth="1"/>
    <col min="6136" max="6136" width="11.42578125" style="64" customWidth="1"/>
    <col min="6137" max="6137" width="12.28515625" style="64" customWidth="1"/>
    <col min="6138" max="6138" width="11" style="64" customWidth="1"/>
    <col min="6139" max="6139" width="10.7109375" style="64" customWidth="1"/>
    <col min="6140" max="6140" width="11.7109375" style="64" customWidth="1"/>
    <col min="6141" max="6141" width="10.85546875" style="64" customWidth="1"/>
    <col min="6142" max="6142" width="9.140625" style="64"/>
    <col min="6143" max="6143" width="10.7109375" style="64" customWidth="1"/>
    <col min="6144" max="6144" width="11.140625" style="64" customWidth="1"/>
    <col min="6145" max="6389" width="9.140625" style="64"/>
    <col min="6390" max="6390" width="7" style="64" customWidth="1"/>
    <col min="6391" max="6391" width="62" style="64" customWidth="1"/>
    <col min="6392" max="6392" width="11.42578125" style="64" customWidth="1"/>
    <col min="6393" max="6393" width="12.28515625" style="64" customWidth="1"/>
    <col min="6394" max="6394" width="11" style="64" customWidth="1"/>
    <col min="6395" max="6395" width="10.7109375" style="64" customWidth="1"/>
    <col min="6396" max="6396" width="11.7109375" style="64" customWidth="1"/>
    <col min="6397" max="6397" width="10.85546875" style="64" customWidth="1"/>
    <col min="6398" max="6398" width="9.140625" style="64"/>
    <col min="6399" max="6399" width="10.7109375" style="64" customWidth="1"/>
    <col min="6400" max="6400" width="11.140625" style="64" customWidth="1"/>
    <col min="6401" max="6645" width="9.140625" style="64"/>
    <col min="6646" max="6646" width="7" style="64" customWidth="1"/>
    <col min="6647" max="6647" width="62" style="64" customWidth="1"/>
    <col min="6648" max="6648" width="11.42578125" style="64" customWidth="1"/>
    <col min="6649" max="6649" width="12.28515625" style="64" customWidth="1"/>
    <col min="6650" max="6650" width="11" style="64" customWidth="1"/>
    <col min="6651" max="6651" width="10.7109375" style="64" customWidth="1"/>
    <col min="6652" max="6652" width="11.7109375" style="64" customWidth="1"/>
    <col min="6653" max="6653" width="10.85546875" style="64" customWidth="1"/>
    <col min="6654" max="6654" width="9.140625" style="64"/>
    <col min="6655" max="6655" width="10.7109375" style="64" customWidth="1"/>
    <col min="6656" max="6656" width="11.140625" style="64" customWidth="1"/>
    <col min="6657" max="6901" width="9.140625" style="64"/>
    <col min="6902" max="6902" width="7" style="64" customWidth="1"/>
    <col min="6903" max="6903" width="62" style="64" customWidth="1"/>
    <col min="6904" max="6904" width="11.42578125" style="64" customWidth="1"/>
    <col min="6905" max="6905" width="12.28515625" style="64" customWidth="1"/>
    <col min="6906" max="6906" width="11" style="64" customWidth="1"/>
    <col min="6907" max="6907" width="10.7109375" style="64" customWidth="1"/>
    <col min="6908" max="6908" width="11.7109375" style="64" customWidth="1"/>
    <col min="6909" max="6909" width="10.85546875" style="64" customWidth="1"/>
    <col min="6910" max="6910" width="9.140625" style="64"/>
    <col min="6911" max="6911" width="10.7109375" style="64" customWidth="1"/>
    <col min="6912" max="6912" width="11.140625" style="64" customWidth="1"/>
    <col min="6913" max="7157" width="9.140625" style="64"/>
    <col min="7158" max="7158" width="7" style="64" customWidth="1"/>
    <col min="7159" max="7159" width="62" style="64" customWidth="1"/>
    <col min="7160" max="7160" width="11.42578125" style="64" customWidth="1"/>
    <col min="7161" max="7161" width="12.28515625" style="64" customWidth="1"/>
    <col min="7162" max="7162" width="11" style="64" customWidth="1"/>
    <col min="7163" max="7163" width="10.7109375" style="64" customWidth="1"/>
    <col min="7164" max="7164" width="11.7109375" style="64" customWidth="1"/>
    <col min="7165" max="7165" width="10.85546875" style="64" customWidth="1"/>
    <col min="7166" max="7166" width="9.140625" style="64"/>
    <col min="7167" max="7167" width="10.7109375" style="64" customWidth="1"/>
    <col min="7168" max="7168" width="11.140625" style="64" customWidth="1"/>
    <col min="7169" max="7413" width="9.140625" style="64"/>
    <col min="7414" max="7414" width="7" style="64" customWidth="1"/>
    <col min="7415" max="7415" width="62" style="64" customWidth="1"/>
    <col min="7416" max="7416" width="11.42578125" style="64" customWidth="1"/>
    <col min="7417" max="7417" width="12.28515625" style="64" customWidth="1"/>
    <col min="7418" max="7418" width="11" style="64" customWidth="1"/>
    <col min="7419" max="7419" width="10.7109375" style="64" customWidth="1"/>
    <col min="7420" max="7420" width="11.7109375" style="64" customWidth="1"/>
    <col min="7421" max="7421" width="10.85546875" style="64" customWidth="1"/>
    <col min="7422" max="7422" width="9.140625" style="64"/>
    <col min="7423" max="7423" width="10.7109375" style="64" customWidth="1"/>
    <col min="7424" max="7424" width="11.140625" style="64" customWidth="1"/>
    <col min="7425" max="7669" width="9.140625" style="64"/>
    <col min="7670" max="7670" width="7" style="64" customWidth="1"/>
    <col min="7671" max="7671" width="62" style="64" customWidth="1"/>
    <col min="7672" max="7672" width="11.42578125" style="64" customWidth="1"/>
    <col min="7673" max="7673" width="12.28515625" style="64" customWidth="1"/>
    <col min="7674" max="7674" width="11" style="64" customWidth="1"/>
    <col min="7675" max="7675" width="10.7109375" style="64" customWidth="1"/>
    <col min="7676" max="7676" width="11.7109375" style="64" customWidth="1"/>
    <col min="7677" max="7677" width="10.85546875" style="64" customWidth="1"/>
    <col min="7678" max="7678" width="9.140625" style="64"/>
    <col min="7679" max="7679" width="10.7109375" style="64" customWidth="1"/>
    <col min="7680" max="7680" width="11.140625" style="64" customWidth="1"/>
    <col min="7681" max="7925" width="9.140625" style="64"/>
    <col min="7926" max="7926" width="7" style="64" customWidth="1"/>
    <col min="7927" max="7927" width="62" style="64" customWidth="1"/>
    <col min="7928" max="7928" width="11.42578125" style="64" customWidth="1"/>
    <col min="7929" max="7929" width="12.28515625" style="64" customWidth="1"/>
    <col min="7930" max="7930" width="11" style="64" customWidth="1"/>
    <col min="7931" max="7931" width="10.7109375" style="64" customWidth="1"/>
    <col min="7932" max="7932" width="11.7109375" style="64" customWidth="1"/>
    <col min="7933" max="7933" width="10.85546875" style="64" customWidth="1"/>
    <col min="7934" max="7934" width="9.140625" style="64"/>
    <col min="7935" max="7935" width="10.7109375" style="64" customWidth="1"/>
    <col min="7936" max="7936" width="11.140625" style="64" customWidth="1"/>
    <col min="7937" max="8181" width="9.140625" style="64"/>
    <col min="8182" max="8182" width="7" style="64" customWidth="1"/>
    <col min="8183" max="8183" width="62" style="64" customWidth="1"/>
    <col min="8184" max="8184" width="11.42578125" style="64" customWidth="1"/>
    <col min="8185" max="8185" width="12.28515625" style="64" customWidth="1"/>
    <col min="8186" max="8186" width="11" style="64" customWidth="1"/>
    <col min="8187" max="8187" width="10.7109375" style="64" customWidth="1"/>
    <col min="8188" max="8188" width="11.7109375" style="64" customWidth="1"/>
    <col min="8189" max="8189" width="10.85546875" style="64" customWidth="1"/>
    <col min="8190" max="8190" width="9.140625" style="64"/>
    <col min="8191" max="8191" width="10.7109375" style="64" customWidth="1"/>
    <col min="8192" max="8192" width="11.140625" style="64" customWidth="1"/>
    <col min="8193" max="8437" width="9.140625" style="64"/>
    <col min="8438" max="8438" width="7" style="64" customWidth="1"/>
    <col min="8439" max="8439" width="62" style="64" customWidth="1"/>
    <col min="8440" max="8440" width="11.42578125" style="64" customWidth="1"/>
    <col min="8441" max="8441" width="12.28515625" style="64" customWidth="1"/>
    <col min="8442" max="8442" width="11" style="64" customWidth="1"/>
    <col min="8443" max="8443" width="10.7109375" style="64" customWidth="1"/>
    <col min="8444" max="8444" width="11.7109375" style="64" customWidth="1"/>
    <col min="8445" max="8445" width="10.85546875" style="64" customWidth="1"/>
    <col min="8446" max="8446" width="9.140625" style="64"/>
    <col min="8447" max="8447" width="10.7109375" style="64" customWidth="1"/>
    <col min="8448" max="8448" width="11.140625" style="64" customWidth="1"/>
    <col min="8449" max="8693" width="9.140625" style="64"/>
    <col min="8694" max="8694" width="7" style="64" customWidth="1"/>
    <col min="8695" max="8695" width="62" style="64" customWidth="1"/>
    <col min="8696" max="8696" width="11.42578125" style="64" customWidth="1"/>
    <col min="8697" max="8697" width="12.28515625" style="64" customWidth="1"/>
    <col min="8698" max="8698" width="11" style="64" customWidth="1"/>
    <col min="8699" max="8699" width="10.7109375" style="64" customWidth="1"/>
    <col min="8700" max="8700" width="11.7109375" style="64" customWidth="1"/>
    <col min="8701" max="8701" width="10.85546875" style="64" customWidth="1"/>
    <col min="8702" max="8702" width="9.140625" style="64"/>
    <col min="8703" max="8703" width="10.7109375" style="64" customWidth="1"/>
    <col min="8704" max="8704" width="11.140625" style="64" customWidth="1"/>
    <col min="8705" max="8949" width="9.140625" style="64"/>
    <col min="8950" max="8950" width="7" style="64" customWidth="1"/>
    <col min="8951" max="8951" width="62" style="64" customWidth="1"/>
    <col min="8952" max="8952" width="11.42578125" style="64" customWidth="1"/>
    <col min="8953" max="8953" width="12.28515625" style="64" customWidth="1"/>
    <col min="8954" max="8954" width="11" style="64" customWidth="1"/>
    <col min="8955" max="8955" width="10.7109375" style="64" customWidth="1"/>
    <col min="8956" max="8956" width="11.7109375" style="64" customWidth="1"/>
    <col min="8957" max="8957" width="10.85546875" style="64" customWidth="1"/>
    <col min="8958" max="8958" width="9.140625" style="64"/>
    <col min="8959" max="8959" width="10.7109375" style="64" customWidth="1"/>
    <col min="8960" max="8960" width="11.140625" style="64" customWidth="1"/>
    <col min="8961" max="9205" width="9.140625" style="64"/>
    <col min="9206" max="9206" width="7" style="64" customWidth="1"/>
    <col min="9207" max="9207" width="62" style="64" customWidth="1"/>
    <col min="9208" max="9208" width="11.42578125" style="64" customWidth="1"/>
    <col min="9209" max="9209" width="12.28515625" style="64" customWidth="1"/>
    <col min="9210" max="9210" width="11" style="64" customWidth="1"/>
    <col min="9211" max="9211" width="10.7109375" style="64" customWidth="1"/>
    <col min="9212" max="9212" width="11.7109375" style="64" customWidth="1"/>
    <col min="9213" max="9213" width="10.85546875" style="64" customWidth="1"/>
    <col min="9214" max="9214" width="9.140625" style="64"/>
    <col min="9215" max="9215" width="10.7109375" style="64" customWidth="1"/>
    <col min="9216" max="9216" width="11.140625" style="64" customWidth="1"/>
    <col min="9217" max="9461" width="9.140625" style="64"/>
    <col min="9462" max="9462" width="7" style="64" customWidth="1"/>
    <col min="9463" max="9463" width="62" style="64" customWidth="1"/>
    <col min="9464" max="9464" width="11.42578125" style="64" customWidth="1"/>
    <col min="9465" max="9465" width="12.28515625" style="64" customWidth="1"/>
    <col min="9466" max="9466" width="11" style="64" customWidth="1"/>
    <col min="9467" max="9467" width="10.7109375" style="64" customWidth="1"/>
    <col min="9468" max="9468" width="11.7109375" style="64" customWidth="1"/>
    <col min="9469" max="9469" width="10.85546875" style="64" customWidth="1"/>
    <col min="9470" max="9470" width="9.140625" style="64"/>
    <col min="9471" max="9471" width="10.7109375" style="64" customWidth="1"/>
    <col min="9472" max="9472" width="11.140625" style="64" customWidth="1"/>
    <col min="9473" max="9717" width="9.140625" style="64"/>
    <col min="9718" max="9718" width="7" style="64" customWidth="1"/>
    <col min="9719" max="9719" width="62" style="64" customWidth="1"/>
    <col min="9720" max="9720" width="11.42578125" style="64" customWidth="1"/>
    <col min="9721" max="9721" width="12.28515625" style="64" customWidth="1"/>
    <col min="9722" max="9722" width="11" style="64" customWidth="1"/>
    <col min="9723" max="9723" width="10.7109375" style="64" customWidth="1"/>
    <col min="9724" max="9724" width="11.7109375" style="64" customWidth="1"/>
    <col min="9725" max="9725" width="10.85546875" style="64" customWidth="1"/>
    <col min="9726" max="9726" width="9.140625" style="64"/>
    <col min="9727" max="9727" width="10.7109375" style="64" customWidth="1"/>
    <col min="9728" max="9728" width="11.140625" style="64" customWidth="1"/>
    <col min="9729" max="9973" width="9.140625" style="64"/>
    <col min="9974" max="9974" width="7" style="64" customWidth="1"/>
    <col min="9975" max="9975" width="62" style="64" customWidth="1"/>
    <col min="9976" max="9976" width="11.42578125" style="64" customWidth="1"/>
    <col min="9977" max="9977" width="12.28515625" style="64" customWidth="1"/>
    <col min="9978" max="9978" width="11" style="64" customWidth="1"/>
    <col min="9979" max="9979" width="10.7109375" style="64" customWidth="1"/>
    <col min="9980" max="9980" width="11.7109375" style="64" customWidth="1"/>
    <col min="9981" max="9981" width="10.85546875" style="64" customWidth="1"/>
    <col min="9982" max="9982" width="9.140625" style="64"/>
    <col min="9983" max="9983" width="10.7109375" style="64" customWidth="1"/>
    <col min="9984" max="9984" width="11.140625" style="64" customWidth="1"/>
    <col min="9985" max="10229" width="9.140625" style="64"/>
    <col min="10230" max="10230" width="7" style="64" customWidth="1"/>
    <col min="10231" max="10231" width="62" style="64" customWidth="1"/>
    <col min="10232" max="10232" width="11.42578125" style="64" customWidth="1"/>
    <col min="10233" max="10233" width="12.28515625" style="64" customWidth="1"/>
    <col min="10234" max="10234" width="11" style="64" customWidth="1"/>
    <col min="10235" max="10235" width="10.7109375" style="64" customWidth="1"/>
    <col min="10236" max="10236" width="11.7109375" style="64" customWidth="1"/>
    <col min="10237" max="10237" width="10.85546875" style="64" customWidth="1"/>
    <col min="10238" max="10238" width="9.140625" style="64"/>
    <col min="10239" max="10239" width="10.7109375" style="64" customWidth="1"/>
    <col min="10240" max="10240" width="11.140625" style="64" customWidth="1"/>
    <col min="10241" max="10485" width="9.140625" style="64"/>
    <col min="10486" max="10486" width="7" style="64" customWidth="1"/>
    <col min="10487" max="10487" width="62" style="64" customWidth="1"/>
    <col min="10488" max="10488" width="11.42578125" style="64" customWidth="1"/>
    <col min="10489" max="10489" width="12.28515625" style="64" customWidth="1"/>
    <col min="10490" max="10490" width="11" style="64" customWidth="1"/>
    <col min="10491" max="10491" width="10.7109375" style="64" customWidth="1"/>
    <col min="10492" max="10492" width="11.7109375" style="64" customWidth="1"/>
    <col min="10493" max="10493" width="10.85546875" style="64" customWidth="1"/>
    <col min="10494" max="10494" width="9.140625" style="64"/>
    <col min="10495" max="10495" width="10.7109375" style="64" customWidth="1"/>
    <col min="10496" max="10496" width="11.140625" style="64" customWidth="1"/>
    <col min="10497" max="10741" width="9.140625" style="64"/>
    <col min="10742" max="10742" width="7" style="64" customWidth="1"/>
    <col min="10743" max="10743" width="62" style="64" customWidth="1"/>
    <col min="10744" max="10744" width="11.42578125" style="64" customWidth="1"/>
    <col min="10745" max="10745" width="12.28515625" style="64" customWidth="1"/>
    <col min="10746" max="10746" width="11" style="64" customWidth="1"/>
    <col min="10747" max="10747" width="10.7109375" style="64" customWidth="1"/>
    <col min="10748" max="10748" width="11.7109375" style="64" customWidth="1"/>
    <col min="10749" max="10749" width="10.85546875" style="64" customWidth="1"/>
    <col min="10750" max="10750" width="9.140625" style="64"/>
    <col min="10751" max="10751" width="10.7109375" style="64" customWidth="1"/>
    <col min="10752" max="10752" width="11.140625" style="64" customWidth="1"/>
    <col min="10753" max="10997" width="9.140625" style="64"/>
    <col min="10998" max="10998" width="7" style="64" customWidth="1"/>
    <col min="10999" max="10999" width="62" style="64" customWidth="1"/>
    <col min="11000" max="11000" width="11.42578125" style="64" customWidth="1"/>
    <col min="11001" max="11001" width="12.28515625" style="64" customWidth="1"/>
    <col min="11002" max="11002" width="11" style="64" customWidth="1"/>
    <col min="11003" max="11003" width="10.7109375" style="64" customWidth="1"/>
    <col min="11004" max="11004" width="11.7109375" style="64" customWidth="1"/>
    <col min="11005" max="11005" width="10.85546875" style="64" customWidth="1"/>
    <col min="11006" max="11006" width="9.140625" style="64"/>
    <col min="11007" max="11007" width="10.7109375" style="64" customWidth="1"/>
    <col min="11008" max="11008" width="11.140625" style="64" customWidth="1"/>
    <col min="11009" max="11253" width="9.140625" style="64"/>
    <col min="11254" max="11254" width="7" style="64" customWidth="1"/>
    <col min="11255" max="11255" width="62" style="64" customWidth="1"/>
    <col min="11256" max="11256" width="11.42578125" style="64" customWidth="1"/>
    <col min="11257" max="11257" width="12.28515625" style="64" customWidth="1"/>
    <col min="11258" max="11258" width="11" style="64" customWidth="1"/>
    <col min="11259" max="11259" width="10.7109375" style="64" customWidth="1"/>
    <col min="11260" max="11260" width="11.7109375" style="64" customWidth="1"/>
    <col min="11261" max="11261" width="10.85546875" style="64" customWidth="1"/>
    <col min="11262" max="11262" width="9.140625" style="64"/>
    <col min="11263" max="11263" width="10.7109375" style="64" customWidth="1"/>
    <col min="11264" max="11264" width="11.140625" style="64" customWidth="1"/>
    <col min="11265" max="11509" width="9.140625" style="64"/>
    <col min="11510" max="11510" width="7" style="64" customWidth="1"/>
    <col min="11511" max="11511" width="62" style="64" customWidth="1"/>
    <col min="11512" max="11512" width="11.42578125" style="64" customWidth="1"/>
    <col min="11513" max="11513" width="12.28515625" style="64" customWidth="1"/>
    <col min="11514" max="11514" width="11" style="64" customWidth="1"/>
    <col min="11515" max="11515" width="10.7109375" style="64" customWidth="1"/>
    <col min="11516" max="11516" width="11.7109375" style="64" customWidth="1"/>
    <col min="11517" max="11517" width="10.85546875" style="64" customWidth="1"/>
    <col min="11518" max="11518" width="9.140625" style="64"/>
    <col min="11519" max="11519" width="10.7109375" style="64" customWidth="1"/>
    <col min="11520" max="11520" width="11.140625" style="64" customWidth="1"/>
    <col min="11521" max="11765" width="9.140625" style="64"/>
    <col min="11766" max="11766" width="7" style="64" customWidth="1"/>
    <col min="11767" max="11767" width="62" style="64" customWidth="1"/>
    <col min="11768" max="11768" width="11.42578125" style="64" customWidth="1"/>
    <col min="11769" max="11769" width="12.28515625" style="64" customWidth="1"/>
    <col min="11770" max="11770" width="11" style="64" customWidth="1"/>
    <col min="11771" max="11771" width="10.7109375" style="64" customWidth="1"/>
    <col min="11772" max="11772" width="11.7109375" style="64" customWidth="1"/>
    <col min="11773" max="11773" width="10.85546875" style="64" customWidth="1"/>
    <col min="11774" max="11774" width="9.140625" style="64"/>
    <col min="11775" max="11775" width="10.7109375" style="64" customWidth="1"/>
    <col min="11776" max="11776" width="11.140625" style="64" customWidth="1"/>
    <col min="11777" max="12021" width="9.140625" style="64"/>
    <col min="12022" max="12022" width="7" style="64" customWidth="1"/>
    <col min="12023" max="12023" width="62" style="64" customWidth="1"/>
    <col min="12024" max="12024" width="11.42578125" style="64" customWidth="1"/>
    <col min="12025" max="12025" width="12.28515625" style="64" customWidth="1"/>
    <col min="12026" max="12026" width="11" style="64" customWidth="1"/>
    <col min="12027" max="12027" width="10.7109375" style="64" customWidth="1"/>
    <col min="12028" max="12028" width="11.7109375" style="64" customWidth="1"/>
    <col min="12029" max="12029" width="10.85546875" style="64" customWidth="1"/>
    <col min="12030" max="12030" width="9.140625" style="64"/>
    <col min="12031" max="12031" width="10.7109375" style="64" customWidth="1"/>
    <col min="12032" max="12032" width="11.140625" style="64" customWidth="1"/>
    <col min="12033" max="12277" width="9.140625" style="64"/>
    <col min="12278" max="12278" width="7" style="64" customWidth="1"/>
    <col min="12279" max="12279" width="62" style="64" customWidth="1"/>
    <col min="12280" max="12280" width="11.42578125" style="64" customWidth="1"/>
    <col min="12281" max="12281" width="12.28515625" style="64" customWidth="1"/>
    <col min="12282" max="12282" width="11" style="64" customWidth="1"/>
    <col min="12283" max="12283" width="10.7109375" style="64" customWidth="1"/>
    <col min="12284" max="12284" width="11.7109375" style="64" customWidth="1"/>
    <col min="12285" max="12285" width="10.85546875" style="64" customWidth="1"/>
    <col min="12286" max="12286" width="9.140625" style="64"/>
    <col min="12287" max="12287" width="10.7109375" style="64" customWidth="1"/>
    <col min="12288" max="12288" width="11.140625" style="64" customWidth="1"/>
    <col min="12289" max="12533" width="9.140625" style="64"/>
    <col min="12534" max="12534" width="7" style="64" customWidth="1"/>
    <col min="12535" max="12535" width="62" style="64" customWidth="1"/>
    <col min="12536" max="12536" width="11.42578125" style="64" customWidth="1"/>
    <col min="12537" max="12537" width="12.28515625" style="64" customWidth="1"/>
    <col min="12538" max="12538" width="11" style="64" customWidth="1"/>
    <col min="12539" max="12539" width="10.7109375" style="64" customWidth="1"/>
    <col min="12540" max="12540" width="11.7109375" style="64" customWidth="1"/>
    <col min="12541" max="12541" width="10.85546875" style="64" customWidth="1"/>
    <col min="12542" max="12542" width="9.140625" style="64"/>
    <col min="12543" max="12543" width="10.7109375" style="64" customWidth="1"/>
    <col min="12544" max="12544" width="11.140625" style="64" customWidth="1"/>
    <col min="12545" max="12789" width="9.140625" style="64"/>
    <col min="12790" max="12790" width="7" style="64" customWidth="1"/>
    <col min="12791" max="12791" width="62" style="64" customWidth="1"/>
    <col min="12792" max="12792" width="11.42578125" style="64" customWidth="1"/>
    <col min="12793" max="12793" width="12.28515625" style="64" customWidth="1"/>
    <col min="12794" max="12794" width="11" style="64" customWidth="1"/>
    <col min="12795" max="12795" width="10.7109375" style="64" customWidth="1"/>
    <col min="12796" max="12796" width="11.7109375" style="64" customWidth="1"/>
    <col min="12797" max="12797" width="10.85546875" style="64" customWidth="1"/>
    <col min="12798" max="12798" width="9.140625" style="64"/>
    <col min="12799" max="12799" width="10.7109375" style="64" customWidth="1"/>
    <col min="12800" max="12800" width="11.140625" style="64" customWidth="1"/>
    <col min="12801" max="13045" width="9.140625" style="64"/>
    <col min="13046" max="13046" width="7" style="64" customWidth="1"/>
    <col min="13047" max="13047" width="62" style="64" customWidth="1"/>
    <col min="13048" max="13048" width="11.42578125" style="64" customWidth="1"/>
    <col min="13049" max="13049" width="12.28515625" style="64" customWidth="1"/>
    <col min="13050" max="13050" width="11" style="64" customWidth="1"/>
    <col min="13051" max="13051" width="10.7109375" style="64" customWidth="1"/>
    <col min="13052" max="13052" width="11.7109375" style="64" customWidth="1"/>
    <col min="13053" max="13053" width="10.85546875" style="64" customWidth="1"/>
    <col min="13054" max="13054" width="9.140625" style="64"/>
    <col min="13055" max="13055" width="10.7109375" style="64" customWidth="1"/>
    <col min="13056" max="13056" width="11.140625" style="64" customWidth="1"/>
    <col min="13057" max="13301" width="9.140625" style="64"/>
    <col min="13302" max="13302" width="7" style="64" customWidth="1"/>
    <col min="13303" max="13303" width="62" style="64" customWidth="1"/>
    <col min="13304" max="13304" width="11.42578125" style="64" customWidth="1"/>
    <col min="13305" max="13305" width="12.28515625" style="64" customWidth="1"/>
    <col min="13306" max="13306" width="11" style="64" customWidth="1"/>
    <col min="13307" max="13307" width="10.7109375" style="64" customWidth="1"/>
    <col min="13308" max="13308" width="11.7109375" style="64" customWidth="1"/>
    <col min="13309" max="13309" width="10.85546875" style="64" customWidth="1"/>
    <col min="13310" max="13310" width="9.140625" style="64"/>
    <col min="13311" max="13311" width="10.7109375" style="64" customWidth="1"/>
    <col min="13312" max="13312" width="11.140625" style="64" customWidth="1"/>
    <col min="13313" max="13557" width="9.140625" style="64"/>
    <col min="13558" max="13558" width="7" style="64" customWidth="1"/>
    <col min="13559" max="13559" width="62" style="64" customWidth="1"/>
    <col min="13560" max="13560" width="11.42578125" style="64" customWidth="1"/>
    <col min="13561" max="13561" width="12.28515625" style="64" customWidth="1"/>
    <col min="13562" max="13562" width="11" style="64" customWidth="1"/>
    <col min="13563" max="13563" width="10.7109375" style="64" customWidth="1"/>
    <col min="13564" max="13564" width="11.7109375" style="64" customWidth="1"/>
    <col min="13565" max="13565" width="10.85546875" style="64" customWidth="1"/>
    <col min="13566" max="13566" width="9.140625" style="64"/>
    <col min="13567" max="13567" width="10.7109375" style="64" customWidth="1"/>
    <col min="13568" max="13568" width="11.140625" style="64" customWidth="1"/>
    <col min="13569" max="13813" width="9.140625" style="64"/>
    <col min="13814" max="13814" width="7" style="64" customWidth="1"/>
    <col min="13815" max="13815" width="62" style="64" customWidth="1"/>
    <col min="13816" max="13816" width="11.42578125" style="64" customWidth="1"/>
    <col min="13817" max="13817" width="12.28515625" style="64" customWidth="1"/>
    <col min="13818" max="13818" width="11" style="64" customWidth="1"/>
    <col min="13819" max="13819" width="10.7109375" style="64" customWidth="1"/>
    <col min="13820" max="13820" width="11.7109375" style="64" customWidth="1"/>
    <col min="13821" max="13821" width="10.85546875" style="64" customWidth="1"/>
    <col min="13822" max="13822" width="9.140625" style="64"/>
    <col min="13823" max="13823" width="10.7109375" style="64" customWidth="1"/>
    <col min="13824" max="13824" width="11.140625" style="64" customWidth="1"/>
    <col min="13825" max="14069" width="9.140625" style="64"/>
    <col min="14070" max="14070" width="7" style="64" customWidth="1"/>
    <col min="14071" max="14071" width="62" style="64" customWidth="1"/>
    <col min="14072" max="14072" width="11.42578125" style="64" customWidth="1"/>
    <col min="14073" max="14073" width="12.28515625" style="64" customWidth="1"/>
    <col min="14074" max="14074" width="11" style="64" customWidth="1"/>
    <col min="14075" max="14075" width="10.7109375" style="64" customWidth="1"/>
    <col min="14076" max="14076" width="11.7109375" style="64" customWidth="1"/>
    <col min="14077" max="14077" width="10.85546875" style="64" customWidth="1"/>
    <col min="14078" max="14078" width="9.140625" style="64"/>
    <col min="14079" max="14079" width="10.7109375" style="64" customWidth="1"/>
    <col min="14080" max="14080" width="11.140625" style="64" customWidth="1"/>
    <col min="14081" max="14325" width="9.140625" style="64"/>
    <col min="14326" max="14326" width="7" style="64" customWidth="1"/>
    <col min="14327" max="14327" width="62" style="64" customWidth="1"/>
    <col min="14328" max="14328" width="11.42578125" style="64" customWidth="1"/>
    <col min="14329" max="14329" width="12.28515625" style="64" customWidth="1"/>
    <col min="14330" max="14330" width="11" style="64" customWidth="1"/>
    <col min="14331" max="14331" width="10.7109375" style="64" customWidth="1"/>
    <col min="14332" max="14332" width="11.7109375" style="64" customWidth="1"/>
    <col min="14333" max="14333" width="10.85546875" style="64" customWidth="1"/>
    <col min="14334" max="14334" width="9.140625" style="64"/>
    <col min="14335" max="14335" width="10.7109375" style="64" customWidth="1"/>
    <col min="14336" max="14336" width="11.140625" style="64" customWidth="1"/>
    <col min="14337" max="14581" width="9.140625" style="64"/>
    <col min="14582" max="14582" width="7" style="64" customWidth="1"/>
    <col min="14583" max="14583" width="62" style="64" customWidth="1"/>
    <col min="14584" max="14584" width="11.42578125" style="64" customWidth="1"/>
    <col min="14585" max="14585" width="12.28515625" style="64" customWidth="1"/>
    <col min="14586" max="14586" width="11" style="64" customWidth="1"/>
    <col min="14587" max="14587" width="10.7109375" style="64" customWidth="1"/>
    <col min="14588" max="14588" width="11.7109375" style="64" customWidth="1"/>
    <col min="14589" max="14589" width="10.85546875" style="64" customWidth="1"/>
    <col min="14590" max="14590" width="9.140625" style="64"/>
    <col min="14591" max="14591" width="10.7109375" style="64" customWidth="1"/>
    <col min="14592" max="14592" width="11.140625" style="64" customWidth="1"/>
    <col min="14593" max="14837" width="9.140625" style="64"/>
    <col min="14838" max="14838" width="7" style="64" customWidth="1"/>
    <col min="14839" max="14839" width="62" style="64" customWidth="1"/>
    <col min="14840" max="14840" width="11.42578125" style="64" customWidth="1"/>
    <col min="14841" max="14841" width="12.28515625" style="64" customWidth="1"/>
    <col min="14842" max="14842" width="11" style="64" customWidth="1"/>
    <col min="14843" max="14843" width="10.7109375" style="64" customWidth="1"/>
    <col min="14844" max="14844" width="11.7109375" style="64" customWidth="1"/>
    <col min="14845" max="14845" width="10.85546875" style="64" customWidth="1"/>
    <col min="14846" max="14846" width="9.140625" style="64"/>
    <col min="14847" max="14847" width="10.7109375" style="64" customWidth="1"/>
    <col min="14848" max="14848" width="11.140625" style="64" customWidth="1"/>
    <col min="14849" max="15093" width="9.140625" style="64"/>
    <col min="15094" max="15094" width="7" style="64" customWidth="1"/>
    <col min="15095" max="15095" width="62" style="64" customWidth="1"/>
    <col min="15096" max="15096" width="11.42578125" style="64" customWidth="1"/>
    <col min="15097" max="15097" width="12.28515625" style="64" customWidth="1"/>
    <col min="15098" max="15098" width="11" style="64" customWidth="1"/>
    <col min="15099" max="15099" width="10.7109375" style="64" customWidth="1"/>
    <col min="15100" max="15100" width="11.7109375" style="64" customWidth="1"/>
    <col min="15101" max="15101" width="10.85546875" style="64" customWidth="1"/>
    <col min="15102" max="15102" width="9.140625" style="64"/>
    <col min="15103" max="15103" width="10.7109375" style="64" customWidth="1"/>
    <col min="15104" max="15104" width="11.140625" style="64" customWidth="1"/>
    <col min="15105" max="15349" width="9.140625" style="64"/>
    <col min="15350" max="15350" width="7" style="64" customWidth="1"/>
    <col min="15351" max="15351" width="62" style="64" customWidth="1"/>
    <col min="15352" max="15352" width="11.42578125" style="64" customWidth="1"/>
    <col min="15353" max="15353" width="12.28515625" style="64" customWidth="1"/>
    <col min="15354" max="15354" width="11" style="64" customWidth="1"/>
    <col min="15355" max="15355" width="10.7109375" style="64" customWidth="1"/>
    <col min="15356" max="15356" width="11.7109375" style="64" customWidth="1"/>
    <col min="15357" max="15357" width="10.85546875" style="64" customWidth="1"/>
    <col min="15358" max="15358" width="9.140625" style="64"/>
    <col min="15359" max="15359" width="10.7109375" style="64" customWidth="1"/>
    <col min="15360" max="15360" width="11.140625" style="64" customWidth="1"/>
    <col min="15361" max="15605" width="9.140625" style="64"/>
    <col min="15606" max="15606" width="7" style="64" customWidth="1"/>
    <col min="15607" max="15607" width="62" style="64" customWidth="1"/>
    <col min="15608" max="15608" width="11.42578125" style="64" customWidth="1"/>
    <col min="15609" max="15609" width="12.28515625" style="64" customWidth="1"/>
    <col min="15610" max="15610" width="11" style="64" customWidth="1"/>
    <col min="15611" max="15611" width="10.7109375" style="64" customWidth="1"/>
    <col min="15612" max="15612" width="11.7109375" style="64" customWidth="1"/>
    <col min="15613" max="15613" width="10.85546875" style="64" customWidth="1"/>
    <col min="15614" max="15614" width="9.140625" style="64"/>
    <col min="15615" max="15615" width="10.7109375" style="64" customWidth="1"/>
    <col min="15616" max="15616" width="11.140625" style="64" customWidth="1"/>
    <col min="15617" max="15861" width="9.140625" style="64"/>
    <col min="15862" max="15862" width="7" style="64" customWidth="1"/>
    <col min="15863" max="15863" width="62" style="64" customWidth="1"/>
    <col min="15864" max="15864" width="11.42578125" style="64" customWidth="1"/>
    <col min="15865" max="15865" width="12.28515625" style="64" customWidth="1"/>
    <col min="15866" max="15866" width="11" style="64" customWidth="1"/>
    <col min="15867" max="15867" width="10.7109375" style="64" customWidth="1"/>
    <col min="15868" max="15868" width="11.7109375" style="64" customWidth="1"/>
    <col min="15869" max="15869" width="10.85546875" style="64" customWidth="1"/>
    <col min="15870" max="15870" width="9.140625" style="64"/>
    <col min="15871" max="15871" width="10.7109375" style="64" customWidth="1"/>
    <col min="15872" max="15872" width="11.140625" style="64" customWidth="1"/>
    <col min="15873" max="16117" width="9.140625" style="64"/>
    <col min="16118" max="16118" width="7" style="64" customWidth="1"/>
    <col min="16119" max="16119" width="62" style="64" customWidth="1"/>
    <col min="16120" max="16120" width="11.42578125" style="64" customWidth="1"/>
    <col min="16121" max="16121" width="12.28515625" style="64" customWidth="1"/>
    <col min="16122" max="16122" width="11" style="64" customWidth="1"/>
    <col min="16123" max="16123" width="10.7109375" style="64" customWidth="1"/>
    <col min="16124" max="16124" width="11.7109375" style="64" customWidth="1"/>
    <col min="16125" max="16125" width="10.85546875" style="64" customWidth="1"/>
    <col min="16126" max="16126" width="9.140625" style="64"/>
    <col min="16127" max="16127" width="10.7109375" style="64" customWidth="1"/>
    <col min="16128" max="16128" width="11.140625" style="64" customWidth="1"/>
    <col min="16129" max="16384" width="9.140625" style="64"/>
  </cols>
  <sheetData>
    <row r="1" spans="1:8">
      <c r="A1" s="201" t="s">
        <v>113</v>
      </c>
      <c r="B1" s="201"/>
      <c r="C1" s="201"/>
      <c r="D1" s="201"/>
      <c r="E1" s="201"/>
      <c r="F1" s="201"/>
      <c r="G1" s="201"/>
      <c r="H1" s="201"/>
    </row>
    <row r="2" spans="1:8">
      <c r="A2" s="201" t="s">
        <v>89</v>
      </c>
      <c r="B2" s="201"/>
      <c r="C2" s="201"/>
      <c r="D2" s="201"/>
      <c r="E2" s="201"/>
      <c r="F2" s="201"/>
      <c r="G2" s="201"/>
      <c r="H2" s="201"/>
    </row>
    <row r="3" spans="1:8">
      <c r="A3" s="202" t="s">
        <v>90</v>
      </c>
      <c r="B3" s="202"/>
      <c r="C3" s="202"/>
      <c r="D3" s="202"/>
      <c r="E3" s="202"/>
      <c r="F3" s="202"/>
      <c r="G3" s="202"/>
      <c r="H3" s="202"/>
    </row>
    <row r="5" spans="1:8" s="67" customFormat="1" ht="38.25">
      <c r="A5" s="65" t="s">
        <v>2</v>
      </c>
      <c r="B5" s="65" t="s">
        <v>91</v>
      </c>
      <c r="C5" s="65" t="s">
        <v>92</v>
      </c>
      <c r="D5" s="66" t="s">
        <v>93</v>
      </c>
      <c r="E5" s="66" t="s">
        <v>94</v>
      </c>
      <c r="F5" s="66" t="s">
        <v>95</v>
      </c>
      <c r="G5" s="66" t="s">
        <v>96</v>
      </c>
      <c r="H5" s="66" t="s">
        <v>97</v>
      </c>
    </row>
    <row r="6" spans="1:8" ht="25.5">
      <c r="A6" s="68">
        <v>1</v>
      </c>
      <c r="B6" s="69" t="s">
        <v>98</v>
      </c>
      <c r="C6" s="66" t="s">
        <v>99</v>
      </c>
      <c r="D6" s="70">
        <v>18</v>
      </c>
      <c r="E6" s="71">
        <f>'ТЭП таб.1'!E9</f>
        <v>288788537</v>
      </c>
      <c r="F6" s="71">
        <f>'ТЭП таб.1'!F9</f>
        <v>339985594</v>
      </c>
      <c r="G6" s="72">
        <f>IF(E6&gt;0,F6/E6*100,0)</f>
        <v>117.72821647695801</v>
      </c>
      <c r="H6" s="72">
        <f>ROUND(G6*D6/100,1)</f>
        <v>21.2</v>
      </c>
    </row>
    <row r="7" spans="1:8" ht="25.5">
      <c r="A7" s="68">
        <v>2</v>
      </c>
      <c r="B7" s="69" t="s">
        <v>100</v>
      </c>
      <c r="C7" s="66" t="s">
        <v>99</v>
      </c>
      <c r="D7" s="70">
        <v>10</v>
      </c>
      <c r="E7" s="71">
        <f>'ТЭП таб.1'!E29</f>
        <v>4328420</v>
      </c>
      <c r="F7" s="71">
        <f>'ТЭП таб.1'!F29</f>
        <v>6967128</v>
      </c>
      <c r="G7" s="72">
        <f t="shared" ref="G7:G13" si="0">IF(E7&gt;0,F7/E7*100,0)</f>
        <v>160.96238350252517</v>
      </c>
      <c r="H7" s="72">
        <f t="shared" ref="H7:H13" si="1">ROUND(G7*D7/100,1)</f>
        <v>16.100000000000001</v>
      </c>
    </row>
    <row r="8" spans="1:8">
      <c r="A8" s="68">
        <v>3</v>
      </c>
      <c r="B8" s="69" t="s">
        <v>101</v>
      </c>
      <c r="C8" s="66" t="s">
        <v>102</v>
      </c>
      <c r="D8" s="70">
        <v>1</v>
      </c>
      <c r="E8" s="73">
        <v>5.0000000000000001E-3</v>
      </c>
      <c r="F8" s="194">
        <f>('ф-2(1кв.2025)'!G33/(('ф-1(1кв.2025)'!D64+'ф-1(1кв.2025)'!E64)/2))</f>
        <v>8.9183119332253164E-3</v>
      </c>
      <c r="G8" s="72">
        <f t="shared" si="0"/>
        <v>178.36623866450631</v>
      </c>
      <c r="H8" s="72">
        <f t="shared" si="1"/>
        <v>1.8</v>
      </c>
    </row>
    <row r="9" spans="1:8" ht="25.5">
      <c r="A9" s="68">
        <v>4</v>
      </c>
      <c r="B9" s="69" t="s">
        <v>103</v>
      </c>
      <c r="C9" s="74" t="s">
        <v>104</v>
      </c>
      <c r="D9" s="70">
        <v>17</v>
      </c>
      <c r="E9" s="71">
        <f>E6</f>
        <v>288788537</v>
      </c>
      <c r="F9" s="71">
        <f>E9/E6*F6</f>
        <v>339985594</v>
      </c>
      <c r="G9" s="72">
        <f t="shared" si="0"/>
        <v>117.72821647695801</v>
      </c>
      <c r="H9" s="72">
        <f t="shared" si="1"/>
        <v>20</v>
      </c>
    </row>
    <row r="10" spans="1:8">
      <c r="A10" s="68">
        <v>5</v>
      </c>
      <c r="B10" s="69" t="s">
        <v>105</v>
      </c>
      <c r="C10" s="74" t="s">
        <v>106</v>
      </c>
      <c r="D10" s="70">
        <v>17</v>
      </c>
      <c r="E10" s="195">
        <v>1.25</v>
      </c>
      <c r="F10" s="195">
        <f>'ф-1(1кв.2025)'!E53/('ф-1(1кв.2025)'!E97-'ф-1(1кв.2025)'!E66)</f>
        <v>5.6105589255476138</v>
      </c>
      <c r="G10" s="72">
        <f t="shared" si="0"/>
        <v>448.84471404380912</v>
      </c>
      <c r="H10" s="72">
        <f t="shared" si="1"/>
        <v>76.3</v>
      </c>
    </row>
    <row r="11" spans="1:8">
      <c r="A11" s="68">
        <v>6</v>
      </c>
      <c r="B11" s="69" t="s">
        <v>107</v>
      </c>
      <c r="C11" s="74" t="s">
        <v>108</v>
      </c>
      <c r="D11" s="70">
        <v>18</v>
      </c>
      <c r="E11" s="195">
        <v>1</v>
      </c>
      <c r="F11" s="195">
        <f>'ф-1(1кв.2025)'!E64/('ф-1(1кв.2025)'!E97-'ф-1(1кв.2025)'!E66)</f>
        <v>6.1954936593859964</v>
      </c>
      <c r="G11" s="72">
        <f t="shared" si="0"/>
        <v>619.54936593859964</v>
      </c>
      <c r="H11" s="72">
        <f t="shared" si="1"/>
        <v>111.5</v>
      </c>
    </row>
    <row r="12" spans="1:8">
      <c r="A12" s="68">
        <v>7</v>
      </c>
      <c r="B12" s="69" t="s">
        <v>109</v>
      </c>
      <c r="C12" s="74" t="s">
        <v>99</v>
      </c>
      <c r="D12" s="70">
        <v>11</v>
      </c>
      <c r="E12" s="75">
        <f>E7*1000*0.5/6587514786</f>
        <v>0.32853208991643545</v>
      </c>
      <c r="F12" s="75">
        <f>F7*1000*0.5/6587514786</f>
        <v>0.52881308250015369</v>
      </c>
      <c r="G12" s="72">
        <f t="shared" si="0"/>
        <v>160.9623835025252</v>
      </c>
      <c r="H12" s="72">
        <f t="shared" si="1"/>
        <v>17.7</v>
      </c>
    </row>
    <row r="13" spans="1:8" ht="25.5">
      <c r="A13" s="68">
        <v>8</v>
      </c>
      <c r="B13" s="69" t="s">
        <v>110</v>
      </c>
      <c r="C13" s="74" t="s">
        <v>99</v>
      </c>
      <c r="D13" s="70">
        <v>8</v>
      </c>
      <c r="E13" s="71">
        <f>(100-100+E7/2)/100</f>
        <v>21642.1</v>
      </c>
      <c r="F13" s="71">
        <f>(100-100+F7/2)/100</f>
        <v>34835.64</v>
      </c>
      <c r="G13" s="72">
        <f t="shared" si="0"/>
        <v>160.9623835025252</v>
      </c>
      <c r="H13" s="72">
        <f t="shared" si="1"/>
        <v>12.9</v>
      </c>
    </row>
    <row r="14" spans="1:8">
      <c r="A14" s="203" t="s">
        <v>111</v>
      </c>
      <c r="B14" s="203"/>
      <c r="C14" s="76"/>
      <c r="D14" s="77">
        <f>SUM(D6:D13)</f>
        <v>100</v>
      </c>
      <c r="E14" s="77"/>
      <c r="F14" s="77"/>
      <c r="G14" s="77"/>
      <c r="H14" s="78">
        <f>SUM(H6:H13)</f>
        <v>277.49999999999994</v>
      </c>
    </row>
    <row r="15" spans="1:8">
      <c r="H15" s="81"/>
    </row>
    <row r="16" spans="1:8">
      <c r="A16" s="82"/>
      <c r="B16" s="82"/>
      <c r="C16" s="82"/>
      <c r="D16" s="82"/>
      <c r="E16" s="83"/>
      <c r="F16" s="83"/>
      <c r="G16" s="82"/>
      <c r="H16" s="82"/>
    </row>
    <row r="17" spans="2:8">
      <c r="D17" s="84"/>
      <c r="E17" s="85"/>
      <c r="F17" s="85"/>
      <c r="G17" s="86"/>
      <c r="H17" s="87"/>
    </row>
    <row r="18" spans="2:8">
      <c r="B18" s="80" t="s">
        <v>69</v>
      </c>
      <c r="G18" s="88" t="s">
        <v>70</v>
      </c>
    </row>
    <row r="19" spans="2:8">
      <c r="G19" s="80"/>
    </row>
    <row r="20" spans="2:8">
      <c r="B20" s="80" t="s">
        <v>112</v>
      </c>
      <c r="G20" s="80" t="s">
        <v>71</v>
      </c>
    </row>
    <row r="21" spans="2:8">
      <c r="G21" s="80"/>
    </row>
    <row r="22" spans="2:8">
      <c r="B22" s="80" t="s">
        <v>72</v>
      </c>
      <c r="G22" s="80" t="s">
        <v>73</v>
      </c>
    </row>
    <row r="23" spans="2:8">
      <c r="G23" s="80"/>
    </row>
    <row r="24" spans="2:8">
      <c r="B24" s="80" t="s">
        <v>74</v>
      </c>
      <c r="G24" s="80" t="s">
        <v>77</v>
      </c>
    </row>
  </sheetData>
  <mergeCells count="4">
    <mergeCell ref="A1:H1"/>
    <mergeCell ref="A2:H2"/>
    <mergeCell ref="A3:H3"/>
    <mergeCell ref="A14:B14"/>
  </mergeCells>
  <conditionalFormatting sqref="G18">
    <cfRule type="containsErrors" dxfId="1" priority="1">
      <formula>ISERROR(G18)</formula>
    </cfRule>
  </conditionalFormatting>
  <pageMargins left="0.39370078740157483" right="0.39370078740157483" top="0.78740157480314965" bottom="0.39370078740157483" header="0.31496062992125984" footer="0.31496062992125984"/>
  <pageSetup paperSize="9" orientation="landscape" horizontalDpi="1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9E22-8B0E-4F30-9B82-9F41B55DA176}">
  <dimension ref="B1:AR61"/>
  <sheetViews>
    <sheetView topLeftCell="A4" zoomScale="98" zoomScaleNormal="98" workbookViewId="0">
      <pane xSplit="3" ySplit="6" topLeftCell="G10" activePane="bottomRight" state="frozen"/>
      <selection activeCell="A4" sqref="A4"/>
      <selection pane="topRight" activeCell="D4" sqref="D4"/>
      <selection pane="bottomLeft" activeCell="A10" sqref="A10"/>
      <selection pane="bottomRight" activeCell="H34" sqref="H34"/>
    </sheetView>
  </sheetViews>
  <sheetFormatPr defaultColWidth="9.140625" defaultRowHeight="12.75"/>
  <cols>
    <col min="1" max="1" width="0.85546875" style="89" customWidth="1"/>
    <col min="2" max="2" width="64" style="89" customWidth="1"/>
    <col min="3" max="3" width="6.7109375" style="89" customWidth="1"/>
    <col min="4" max="4" width="15.85546875" style="89" customWidth="1"/>
    <col min="5" max="5" width="14.7109375" style="89" customWidth="1"/>
    <col min="6" max="6" width="7.28515625" style="89" bestFit="1" customWidth="1"/>
    <col min="7" max="7" width="16.7109375" style="89" customWidth="1"/>
    <col min="8" max="8" width="15.5703125" style="89" customWidth="1"/>
    <col min="9" max="9" width="7.28515625" style="89" bestFit="1" customWidth="1"/>
    <col min="10" max="10" width="8.140625" style="89" customWidth="1"/>
    <col min="11" max="12" width="16.7109375" style="89" hidden="1" customWidth="1"/>
    <col min="13" max="13" width="12.28515625" style="89" hidden="1" customWidth="1"/>
    <col min="14" max="14" width="14.7109375" style="89" hidden="1" customWidth="1"/>
    <col min="15" max="15" width="12" style="89" hidden="1" customWidth="1"/>
    <col min="16" max="16" width="10.7109375" style="89" hidden="1" customWidth="1"/>
    <col min="17" max="17" width="12.140625" style="89" hidden="1" customWidth="1"/>
    <col min="18" max="18" width="12.7109375" style="89" hidden="1" customWidth="1"/>
    <col min="19" max="19" width="10.7109375" style="89" hidden="1" customWidth="1"/>
    <col min="20" max="20" width="12.85546875" style="89" hidden="1" customWidth="1"/>
    <col min="21" max="21" width="13.140625" style="89" hidden="1" customWidth="1"/>
    <col min="22" max="22" width="10.7109375" style="89" hidden="1" customWidth="1"/>
    <col min="23" max="23" width="12.7109375" style="89" hidden="1" customWidth="1"/>
    <col min="24" max="24" width="13.7109375" style="89" hidden="1" customWidth="1"/>
    <col min="25" max="25" width="10.7109375" style="89" hidden="1" customWidth="1"/>
    <col min="26" max="26" width="14.7109375" style="89" hidden="1" customWidth="1"/>
    <col min="27" max="27" width="13.7109375" style="89" hidden="1" customWidth="1"/>
    <col min="28" max="28" width="10.7109375" style="89" hidden="1" customWidth="1"/>
    <col min="29" max="29" width="9.7109375" style="89" hidden="1" customWidth="1"/>
    <col min="30" max="30" width="11.7109375" style="89" hidden="1" customWidth="1"/>
    <col min="31" max="31" width="9.7109375" style="89" hidden="1" customWidth="1"/>
    <col min="32" max="32" width="12.85546875" style="89" hidden="1" customWidth="1"/>
    <col min="33" max="33" width="13" style="89" hidden="1" customWidth="1"/>
    <col min="34" max="34" width="0" style="89" hidden="1" customWidth="1"/>
    <col min="35" max="35" width="12.85546875" style="89" hidden="1" customWidth="1"/>
    <col min="36" max="36" width="12.5703125" style="89" hidden="1" customWidth="1"/>
    <col min="37" max="37" width="0" style="89" hidden="1" customWidth="1"/>
    <col min="38" max="38" width="12.85546875" style="89" hidden="1" customWidth="1"/>
    <col min="39" max="39" width="12.5703125" style="89" hidden="1" customWidth="1"/>
    <col min="40" max="41" width="0" style="89" hidden="1" customWidth="1"/>
    <col min="42" max="16384" width="9.140625" style="89"/>
  </cols>
  <sheetData>
    <row r="1" spans="2:41" hidden="1"/>
    <row r="2" spans="2:41" hidden="1"/>
    <row r="3" spans="2:41" hidden="1"/>
    <row r="4" spans="2:41">
      <c r="B4" s="214" t="s">
        <v>114</v>
      </c>
      <c r="C4" s="214"/>
      <c r="D4" s="214"/>
      <c r="E4" s="214"/>
      <c r="F4" s="90"/>
      <c r="G4" s="90"/>
      <c r="H4" s="90"/>
      <c r="I4" s="90"/>
      <c r="J4" s="90"/>
    </row>
    <row r="5" spans="2:41">
      <c r="B5" s="91"/>
      <c r="C5" s="91"/>
      <c r="D5" s="91"/>
      <c r="E5" s="91"/>
      <c r="F5" s="91"/>
      <c r="G5" s="91"/>
      <c r="H5" s="91"/>
      <c r="I5" s="91"/>
      <c r="J5" s="91"/>
    </row>
    <row r="6" spans="2:41">
      <c r="B6" s="91"/>
      <c r="C6" s="92"/>
      <c r="D6" s="92"/>
      <c r="E6" s="91"/>
      <c r="F6" s="91"/>
      <c r="G6" s="91"/>
      <c r="H6" s="91"/>
      <c r="I6" s="93"/>
      <c r="J6" s="93"/>
      <c r="K6" s="94"/>
    </row>
    <row r="7" spans="2:41" s="91" customFormat="1" ht="33.75" customHeight="1">
      <c r="B7" s="215" t="s">
        <v>115</v>
      </c>
      <c r="C7" s="213" t="s">
        <v>116</v>
      </c>
      <c r="D7" s="213" t="s">
        <v>117</v>
      </c>
      <c r="E7" s="213"/>
      <c r="F7" s="95"/>
      <c r="G7" s="217" t="s">
        <v>118</v>
      </c>
      <c r="H7" s="218"/>
      <c r="I7" s="219"/>
      <c r="J7" s="96"/>
      <c r="K7" s="213" t="s">
        <v>119</v>
      </c>
      <c r="L7" s="213"/>
      <c r="M7" s="97"/>
      <c r="N7" s="210" t="s">
        <v>120</v>
      </c>
      <c r="O7" s="211"/>
      <c r="P7" s="212"/>
      <c r="Q7" s="210" t="s">
        <v>121</v>
      </c>
      <c r="R7" s="211"/>
      <c r="S7" s="212"/>
      <c r="T7" s="210" t="s">
        <v>122</v>
      </c>
      <c r="U7" s="211"/>
      <c r="V7" s="212"/>
      <c r="W7" s="210" t="s">
        <v>123</v>
      </c>
      <c r="X7" s="211"/>
      <c r="Y7" s="212"/>
      <c r="Z7" s="210" t="s">
        <v>124</v>
      </c>
      <c r="AA7" s="211"/>
      <c r="AB7" s="212"/>
      <c r="AC7" s="210" t="s">
        <v>125</v>
      </c>
      <c r="AD7" s="211"/>
      <c r="AE7" s="212"/>
      <c r="AF7" s="205" t="s">
        <v>126</v>
      </c>
      <c r="AG7" s="205"/>
      <c r="AH7" s="205"/>
      <c r="AI7" s="206" t="s">
        <v>127</v>
      </c>
      <c r="AJ7" s="206"/>
      <c r="AK7" s="206"/>
      <c r="AL7" s="206" t="s">
        <v>88</v>
      </c>
      <c r="AM7" s="206"/>
      <c r="AN7" s="206"/>
    </row>
    <row r="8" spans="2:41" s="91" customFormat="1" ht="32.25" customHeight="1">
      <c r="B8" s="216"/>
      <c r="C8" s="213"/>
      <c r="D8" s="97" t="s">
        <v>128</v>
      </c>
      <c r="E8" s="97" t="s">
        <v>129</v>
      </c>
      <c r="F8" s="97"/>
      <c r="G8" s="97" t="s">
        <v>128</v>
      </c>
      <c r="H8" s="97" t="s">
        <v>129</v>
      </c>
      <c r="I8" s="97" t="s">
        <v>40</v>
      </c>
      <c r="J8" s="97"/>
      <c r="K8" s="97" t="s">
        <v>128</v>
      </c>
      <c r="L8" s="97" t="s">
        <v>129</v>
      </c>
      <c r="M8" s="97" t="s">
        <v>40</v>
      </c>
      <c r="N8" s="97" t="s">
        <v>128</v>
      </c>
      <c r="O8" s="97" t="s">
        <v>129</v>
      </c>
      <c r="P8" s="97" t="s">
        <v>40</v>
      </c>
      <c r="Q8" s="97" t="s">
        <v>128</v>
      </c>
      <c r="R8" s="97" t="s">
        <v>129</v>
      </c>
      <c r="S8" s="97" t="s">
        <v>40</v>
      </c>
      <c r="T8" s="97" t="s">
        <v>128</v>
      </c>
      <c r="U8" s="97" t="s">
        <v>129</v>
      </c>
      <c r="V8" s="97" t="s">
        <v>40</v>
      </c>
      <c r="W8" s="97" t="s">
        <v>128</v>
      </c>
      <c r="X8" s="97" t="s">
        <v>129</v>
      </c>
      <c r="Y8" s="97" t="s">
        <v>40</v>
      </c>
      <c r="Z8" s="97" t="s">
        <v>128</v>
      </c>
      <c r="AA8" s="97" t="s">
        <v>129</v>
      </c>
      <c r="AB8" s="97" t="s">
        <v>40</v>
      </c>
      <c r="AC8" s="97" t="s">
        <v>128</v>
      </c>
      <c r="AD8" s="97" t="s">
        <v>129</v>
      </c>
      <c r="AE8" s="97" t="s">
        <v>40</v>
      </c>
      <c r="AF8" s="97" t="s">
        <v>128</v>
      </c>
      <c r="AG8" s="97" t="s">
        <v>129</v>
      </c>
      <c r="AH8" s="97" t="s">
        <v>40</v>
      </c>
      <c r="AI8" s="97" t="s">
        <v>128</v>
      </c>
      <c r="AJ8" s="97" t="s">
        <v>129</v>
      </c>
      <c r="AK8" s="97" t="s">
        <v>40</v>
      </c>
      <c r="AL8" s="97" t="s">
        <v>128</v>
      </c>
      <c r="AM8" s="97" t="s">
        <v>129</v>
      </c>
      <c r="AN8" s="97" t="s">
        <v>40</v>
      </c>
    </row>
    <row r="9" spans="2:41">
      <c r="B9" s="98">
        <v>1</v>
      </c>
      <c r="C9" s="98">
        <v>2</v>
      </c>
      <c r="D9" s="98">
        <v>3</v>
      </c>
      <c r="E9" s="98">
        <v>4</v>
      </c>
      <c r="F9" s="98"/>
      <c r="G9" s="98">
        <v>5</v>
      </c>
      <c r="H9" s="98">
        <v>6</v>
      </c>
      <c r="I9" s="98"/>
      <c r="J9" s="98"/>
      <c r="K9" s="98">
        <v>5</v>
      </c>
      <c r="L9" s="98">
        <v>6</v>
      </c>
      <c r="M9" s="98"/>
      <c r="N9" s="98">
        <v>5</v>
      </c>
      <c r="O9" s="98">
        <v>6</v>
      </c>
      <c r="P9" s="98"/>
      <c r="Q9" s="98">
        <v>5</v>
      </c>
      <c r="R9" s="98">
        <v>6</v>
      </c>
      <c r="S9" s="98"/>
      <c r="T9" s="98">
        <v>5</v>
      </c>
      <c r="U9" s="98">
        <v>6</v>
      </c>
      <c r="V9" s="98"/>
      <c r="W9" s="98">
        <v>5</v>
      </c>
      <c r="X9" s="98">
        <v>6</v>
      </c>
      <c r="Y9" s="98"/>
      <c r="Z9" s="98">
        <v>5</v>
      </c>
      <c r="AA9" s="98">
        <v>6</v>
      </c>
      <c r="AB9" s="98"/>
      <c r="AC9" s="98">
        <v>5</v>
      </c>
      <c r="AD9" s="98">
        <v>6</v>
      </c>
      <c r="AE9" s="98"/>
      <c r="AF9" s="98">
        <v>5</v>
      </c>
      <c r="AG9" s="98">
        <v>6</v>
      </c>
      <c r="AH9" s="99"/>
      <c r="AI9" s="98">
        <v>5</v>
      </c>
      <c r="AJ9" s="98">
        <v>6</v>
      </c>
      <c r="AK9" s="99"/>
      <c r="AL9" s="98">
        <v>5</v>
      </c>
      <c r="AM9" s="98">
        <v>6</v>
      </c>
      <c r="AN9" s="99"/>
    </row>
    <row r="10" spans="2:41" ht="18" customHeight="1">
      <c r="B10" s="100" t="s">
        <v>130</v>
      </c>
      <c r="C10" s="101" t="s">
        <v>131</v>
      </c>
      <c r="D10" s="102">
        <v>109021887</v>
      </c>
      <c r="E10" s="103" t="s">
        <v>132</v>
      </c>
      <c r="F10" s="103">
        <v>100</v>
      </c>
      <c r="G10" s="104">
        <v>339985594</v>
      </c>
      <c r="H10" s="103" t="s">
        <v>132</v>
      </c>
      <c r="I10" s="105">
        <v>100</v>
      </c>
      <c r="J10" s="106">
        <f>+G10/D10</f>
        <v>3.1185076992842733</v>
      </c>
      <c r="K10" s="107">
        <f>1632483+1</f>
        <v>1632484</v>
      </c>
      <c r="L10" s="103" t="s">
        <v>132</v>
      </c>
      <c r="M10" s="103"/>
      <c r="N10" s="107">
        <v>465224009</v>
      </c>
      <c r="O10" s="103" t="s">
        <v>132</v>
      </c>
      <c r="P10" s="108"/>
      <c r="Q10" s="107">
        <v>321366197</v>
      </c>
      <c r="R10" s="103" t="s">
        <v>132</v>
      </c>
      <c r="S10" s="108"/>
      <c r="T10" s="107">
        <v>197854267</v>
      </c>
      <c r="U10" s="103" t="s">
        <v>132</v>
      </c>
      <c r="V10" s="108"/>
      <c r="W10" s="107">
        <v>142493399</v>
      </c>
      <c r="X10" s="103" t="s">
        <v>132</v>
      </c>
      <c r="Y10" s="103"/>
      <c r="Z10" s="107"/>
      <c r="AA10" s="103" t="s">
        <v>132</v>
      </c>
      <c r="AB10" s="108"/>
      <c r="AC10" s="107">
        <v>5557989</v>
      </c>
      <c r="AD10" s="103" t="s">
        <v>132</v>
      </c>
      <c r="AE10" s="108"/>
      <c r="AF10" s="107">
        <v>67348</v>
      </c>
      <c r="AG10" s="103" t="s">
        <v>132</v>
      </c>
      <c r="AH10" s="109"/>
      <c r="AI10" s="107">
        <v>9278</v>
      </c>
      <c r="AJ10" s="103" t="s">
        <v>132</v>
      </c>
      <c r="AK10" s="109"/>
      <c r="AL10" s="107">
        <v>63405397</v>
      </c>
      <c r="AM10" s="103" t="s">
        <v>132</v>
      </c>
      <c r="AN10" s="109"/>
    </row>
    <row r="11" spans="2:41" ht="15.75" customHeight="1">
      <c r="B11" s="100" t="s">
        <v>133</v>
      </c>
      <c r="C11" s="101" t="s">
        <v>134</v>
      </c>
      <c r="D11" s="103" t="s">
        <v>132</v>
      </c>
      <c r="E11" s="102">
        <v>80311634</v>
      </c>
      <c r="F11" s="110">
        <f>+E11/$D$10*100</f>
        <v>73.665606246569553</v>
      </c>
      <c r="G11" s="103" t="s">
        <v>132</v>
      </c>
      <c r="H11" s="111">
        <v>283512684</v>
      </c>
      <c r="I11" s="112">
        <f>+H11/G10*100</f>
        <v>83.389616796528159</v>
      </c>
      <c r="J11" s="106">
        <f>+H11/E11</f>
        <v>3.5301570878261548</v>
      </c>
      <c r="K11" s="103" t="s">
        <v>132</v>
      </c>
      <c r="L11" s="111">
        <v>-236221</v>
      </c>
      <c r="M11" s="111"/>
      <c r="N11" s="103" t="s">
        <v>132</v>
      </c>
      <c r="O11" s="113">
        <v>318651922</v>
      </c>
      <c r="P11" s="114">
        <f>+O11/N10*100</f>
        <v>68.494298625073753</v>
      </c>
      <c r="Q11" s="103" t="s">
        <v>132</v>
      </c>
      <c r="R11" s="113">
        <v>213618383</v>
      </c>
      <c r="S11" s="108">
        <f>+R11/Q10*100</f>
        <v>66.471951622217446</v>
      </c>
      <c r="T11" s="103" t="s">
        <v>132</v>
      </c>
      <c r="U11" s="113">
        <v>164912191</v>
      </c>
      <c r="V11" s="108">
        <f>+U11/T10*100</f>
        <v>83.35033330365323</v>
      </c>
      <c r="W11" s="103" t="s">
        <v>132</v>
      </c>
      <c r="X11" s="115">
        <v>124329089</v>
      </c>
      <c r="Y11" s="116">
        <f>+X11/W10*100</f>
        <v>87.25252529066276</v>
      </c>
      <c r="Z11" s="103" t="s">
        <v>132</v>
      </c>
      <c r="AA11" s="113">
        <v>1972</v>
      </c>
      <c r="AB11" s="108" t="e">
        <f>+AA11/Z10*100</f>
        <v>#DIV/0!</v>
      </c>
      <c r="AC11" s="103" t="s">
        <v>132</v>
      </c>
      <c r="AD11" s="113">
        <v>-1355210</v>
      </c>
      <c r="AE11" s="108">
        <f>+AD11/AC10*100</f>
        <v>-24.383099714662983</v>
      </c>
      <c r="AF11" s="103" t="s">
        <v>132</v>
      </c>
      <c r="AG11" s="117">
        <v>-7933720</v>
      </c>
      <c r="AH11" s="109">
        <f>+AG11/AF10*100</f>
        <v>-11780.186494031002</v>
      </c>
      <c r="AI11" s="103" t="s">
        <v>132</v>
      </c>
      <c r="AJ11" s="118">
        <v>573139</v>
      </c>
      <c r="AK11" s="109">
        <f>+AJ11/AI10*100</f>
        <v>6177.398146152188</v>
      </c>
      <c r="AL11" s="103" t="s">
        <v>132</v>
      </c>
      <c r="AM11" s="118">
        <f>53349808+558356</f>
        <v>53908164</v>
      </c>
      <c r="AN11" s="109">
        <f>+AM11/AL10*100</f>
        <v>85.021412293972389</v>
      </c>
      <c r="AO11" s="89">
        <v>558356</v>
      </c>
    </row>
    <row r="12" spans="2:41" ht="27.6" customHeight="1">
      <c r="B12" s="100" t="s">
        <v>135</v>
      </c>
      <c r="C12" s="101" t="s">
        <v>136</v>
      </c>
      <c r="D12" s="119">
        <f>D10-E11</f>
        <v>28710253</v>
      </c>
      <c r="E12" s="119">
        <v>0</v>
      </c>
      <c r="F12" s="120">
        <f>+D12/$D$10*100</f>
        <v>26.334393753430447</v>
      </c>
      <c r="G12" s="119">
        <f>G10-H11</f>
        <v>56472910</v>
      </c>
      <c r="H12" s="119" t="s">
        <v>137</v>
      </c>
      <c r="I12" s="112">
        <f>+G12/G10*100</f>
        <v>16.610383203471851</v>
      </c>
      <c r="J12" s="106">
        <f>+G12/D12</f>
        <v>1.9669945088954806</v>
      </c>
      <c r="K12" s="119">
        <f>K10-L11</f>
        <v>1868705</v>
      </c>
      <c r="L12" s="119" t="s">
        <v>137</v>
      </c>
      <c r="M12" s="119"/>
      <c r="N12" s="119">
        <f>N10-O11</f>
        <v>146572087</v>
      </c>
      <c r="O12" s="119" t="s">
        <v>137</v>
      </c>
      <c r="P12" s="103"/>
      <c r="Q12" s="119">
        <f t="shared" ref="Q12" si="0">Q10-R11</f>
        <v>107747814</v>
      </c>
      <c r="R12" s="119" t="s">
        <v>137</v>
      </c>
      <c r="S12" s="108"/>
      <c r="T12" s="119">
        <f t="shared" ref="T12" si="1">T10-U11</f>
        <v>32942076</v>
      </c>
      <c r="U12" s="119" t="s">
        <v>137</v>
      </c>
      <c r="V12" s="108"/>
      <c r="W12" s="119">
        <f t="shared" ref="W12" si="2">W10-X11</f>
        <v>18164310</v>
      </c>
      <c r="X12" s="119" t="s">
        <v>137</v>
      </c>
      <c r="Y12" s="116"/>
      <c r="Z12" s="119">
        <f t="shared" ref="Z12" si="3">Z10-AA11</f>
        <v>-1972</v>
      </c>
      <c r="AA12" s="119" t="s">
        <v>137</v>
      </c>
      <c r="AB12" s="108"/>
      <c r="AC12" s="119">
        <f t="shared" ref="AC12" si="4">AC10-AD11</f>
        <v>6913199</v>
      </c>
      <c r="AD12" s="119" t="s">
        <v>137</v>
      </c>
      <c r="AE12" s="108"/>
      <c r="AF12" s="119">
        <f t="shared" ref="AF12" si="5">AF10-AG11</f>
        <v>8001068</v>
      </c>
      <c r="AG12" s="119" t="s">
        <v>137</v>
      </c>
      <c r="AH12" s="109"/>
      <c r="AI12" s="119">
        <f t="shared" ref="AI12" si="6">AI10-AJ11</f>
        <v>-563861</v>
      </c>
      <c r="AJ12" s="119" t="s">
        <v>137</v>
      </c>
      <c r="AK12" s="109"/>
      <c r="AL12" s="119">
        <f t="shared" ref="AL12" si="7">AL10-AM11</f>
        <v>9497233</v>
      </c>
      <c r="AM12" s="119" t="s">
        <v>137</v>
      </c>
      <c r="AN12" s="109"/>
    </row>
    <row r="13" spans="2:41" ht="16.5" customHeight="1">
      <c r="B13" s="100" t="s">
        <v>138</v>
      </c>
      <c r="C13" s="101" t="s">
        <v>139</v>
      </c>
      <c r="D13" s="103" t="s">
        <v>132</v>
      </c>
      <c r="E13" s="119">
        <f>E14+E15+E16</f>
        <v>27261123.900000002</v>
      </c>
      <c r="F13" s="110">
        <f>+E13/$D$10*100</f>
        <v>25.005184417694039</v>
      </c>
      <c r="G13" s="103" t="s">
        <v>132</v>
      </c>
      <c r="H13" s="111">
        <f>+H15+H16</f>
        <v>50603091</v>
      </c>
      <c r="I13" s="112">
        <f>+H13/G10*100</f>
        <v>14.88389269811238</v>
      </c>
      <c r="J13" s="106">
        <f>+H13/E13</f>
        <v>1.8562364187780238</v>
      </c>
      <c r="K13" s="103" t="s">
        <v>132</v>
      </c>
      <c r="L13" s="119">
        <f>+L15+L16</f>
        <v>5276828</v>
      </c>
      <c r="M13" s="119"/>
      <c r="N13" s="103" t="s">
        <v>132</v>
      </c>
      <c r="O13" s="121">
        <f>+O14+O15+O16</f>
        <v>63725774</v>
      </c>
      <c r="P13" s="122">
        <f>+O13/N10*100</f>
        <v>13.697868718551023</v>
      </c>
      <c r="Q13" s="103" t="s">
        <v>132</v>
      </c>
      <c r="R13" s="121">
        <f>+R14+R15+R16</f>
        <v>55544739</v>
      </c>
      <c r="S13" s="108">
        <f>+R13/Q10*100</f>
        <v>17.283939480417722</v>
      </c>
      <c r="T13" s="103" t="s">
        <v>132</v>
      </c>
      <c r="U13" s="121">
        <f>+U14+U15+U16</f>
        <v>32186817</v>
      </c>
      <c r="V13" s="108">
        <f>+U13/T10*100</f>
        <v>16.267941797787966</v>
      </c>
      <c r="W13" s="103" t="s">
        <v>132</v>
      </c>
      <c r="X13" s="121">
        <f>+X14+X15+X16</f>
        <v>28528864</v>
      </c>
      <c r="Y13" s="116">
        <f>+X13/W10*100</f>
        <v>20.021182875987119</v>
      </c>
      <c r="Z13" s="103" t="s">
        <v>132</v>
      </c>
      <c r="AA13" s="121">
        <f>+AA14+AA15+AA16</f>
        <v>916775</v>
      </c>
      <c r="AB13" s="108" t="e">
        <f>+AA13/Z10*100</f>
        <v>#DIV/0!</v>
      </c>
      <c r="AC13" s="103" t="s">
        <v>132</v>
      </c>
      <c r="AD13" s="121">
        <f>+AD14+AD15+AD16</f>
        <v>5922462</v>
      </c>
      <c r="AE13" s="108">
        <f>+AD13/AC10*100</f>
        <v>106.5576416218168</v>
      </c>
      <c r="AF13" s="103" t="s">
        <v>132</v>
      </c>
      <c r="AG13" s="121">
        <f>+AG14+AG15+AG16</f>
        <v>-326707</v>
      </c>
      <c r="AH13" s="109">
        <f>+AG13/AF10*100</f>
        <v>-485.10274989606222</v>
      </c>
      <c r="AI13" s="103" t="s">
        <v>132</v>
      </c>
      <c r="AJ13" s="121">
        <f>+AJ14+AJ15+AJ16</f>
        <v>-324387</v>
      </c>
      <c r="AK13" s="109">
        <f>+AJ13/AI10*100</f>
        <v>-3496.3030825608967</v>
      </c>
      <c r="AL13" s="103" t="s">
        <v>132</v>
      </c>
      <c r="AM13" s="121">
        <f>+AM14+AM15+AM16</f>
        <v>19348762</v>
      </c>
      <c r="AN13" s="109">
        <f>+AM13/AL10*100</f>
        <v>30.51595434376036</v>
      </c>
    </row>
    <row r="14" spans="2:41">
      <c r="B14" s="100" t="s">
        <v>140</v>
      </c>
      <c r="C14" s="101" t="s">
        <v>141</v>
      </c>
      <c r="D14" s="105" t="s">
        <v>132</v>
      </c>
      <c r="E14" s="123"/>
      <c r="F14" s="110">
        <f t="shared" ref="F14:F16" si="8">+E14/$D$10*100</f>
        <v>0</v>
      </c>
      <c r="G14" s="105" t="s">
        <v>132</v>
      </c>
      <c r="H14" s="111">
        <f t="shared" ref="H14" si="9">+L14+AA14+AD14+AG14+AJ14+O14+R14+U14+X14+AM14</f>
        <v>0</v>
      </c>
      <c r="I14" s="112">
        <f>+H14/G10*100</f>
        <v>0</v>
      </c>
      <c r="J14" s="106">
        <v>0</v>
      </c>
      <c r="K14" s="105" t="s">
        <v>132</v>
      </c>
      <c r="L14" s="124"/>
      <c r="M14" s="124"/>
      <c r="N14" s="105" t="s">
        <v>132</v>
      </c>
      <c r="O14" s="124"/>
      <c r="P14" s="125"/>
      <c r="Q14" s="105" t="s">
        <v>132</v>
      </c>
      <c r="R14" s="124"/>
      <c r="S14" s="108"/>
      <c r="T14" s="105" t="s">
        <v>132</v>
      </c>
      <c r="U14" s="124"/>
      <c r="V14" s="108"/>
      <c r="W14" s="105" t="s">
        <v>132</v>
      </c>
      <c r="X14" s="124"/>
      <c r="Y14" s="116"/>
      <c r="Z14" s="105" t="s">
        <v>132</v>
      </c>
      <c r="AA14" s="124"/>
      <c r="AB14" s="108" t="e">
        <f>+AA14/Z10*100</f>
        <v>#DIV/0!</v>
      </c>
      <c r="AC14" s="105" t="s">
        <v>132</v>
      </c>
      <c r="AD14" s="124"/>
      <c r="AE14" s="108"/>
      <c r="AF14" s="105" t="s">
        <v>132</v>
      </c>
      <c r="AG14" s="124"/>
      <c r="AH14" s="109"/>
      <c r="AI14" s="105" t="s">
        <v>132</v>
      </c>
      <c r="AJ14" s="124"/>
      <c r="AK14" s="109"/>
      <c r="AL14" s="105" t="s">
        <v>132</v>
      </c>
      <c r="AM14" s="124"/>
      <c r="AN14" s="109"/>
    </row>
    <row r="15" spans="2:41">
      <c r="B15" s="100" t="s">
        <v>142</v>
      </c>
      <c r="C15" s="101" t="s">
        <v>143</v>
      </c>
      <c r="D15" s="105" t="s">
        <v>132</v>
      </c>
      <c r="E15" s="126">
        <v>20138426.260000002</v>
      </c>
      <c r="F15" s="110">
        <f t="shared" si="8"/>
        <v>18.471911296123501</v>
      </c>
      <c r="G15" s="105" t="s">
        <v>132</v>
      </c>
      <c r="H15" s="127">
        <v>50339195</v>
      </c>
      <c r="I15" s="112">
        <f>+H15/G10*100</f>
        <v>14.806272938729281</v>
      </c>
      <c r="J15" s="106">
        <f>+H15/E15</f>
        <v>2.4996588288522994</v>
      </c>
      <c r="K15" s="105" t="s">
        <v>132</v>
      </c>
      <c r="L15" s="128">
        <v>-14374307</v>
      </c>
      <c r="M15" s="129"/>
      <c r="N15" s="105" t="s">
        <v>132</v>
      </c>
      <c r="O15" s="130">
        <v>50569675</v>
      </c>
      <c r="P15" s="116">
        <f>+O15/N10*100</f>
        <v>10.869962431367123</v>
      </c>
      <c r="Q15" s="105" t="s">
        <v>132</v>
      </c>
      <c r="R15" s="130">
        <v>43526676</v>
      </c>
      <c r="S15" s="108">
        <f>+R15/Q10*100</f>
        <v>13.544260848318157</v>
      </c>
      <c r="T15" s="105" t="s">
        <v>132</v>
      </c>
      <c r="U15" s="131">
        <v>26082429</v>
      </c>
      <c r="V15" s="108">
        <f>+U15/T10*100</f>
        <v>13.182646700260451</v>
      </c>
      <c r="W15" s="105" t="s">
        <v>132</v>
      </c>
      <c r="X15" s="113">
        <v>23089751</v>
      </c>
      <c r="Y15" s="116">
        <f>+X15/W10*100</f>
        <v>16.204084653774032</v>
      </c>
      <c r="Z15" s="105" t="s">
        <v>132</v>
      </c>
      <c r="AA15" s="130">
        <v>623222</v>
      </c>
      <c r="AB15" s="108" t="e">
        <f>+AA15/Z10*100</f>
        <v>#DIV/0!</v>
      </c>
      <c r="AC15" s="105" t="s">
        <v>132</v>
      </c>
      <c r="AD15" s="130">
        <v>4757162</v>
      </c>
      <c r="AE15" s="108">
        <f>+AD15/AC10*100</f>
        <v>85.591425243914671</v>
      </c>
      <c r="AF15" s="105" t="s">
        <v>132</v>
      </c>
      <c r="AG15" s="117">
        <v>-786298</v>
      </c>
      <c r="AH15" s="109">
        <f>+AG15/AF10*100</f>
        <v>-1167.5149967333848</v>
      </c>
      <c r="AI15" s="105" t="s">
        <v>132</v>
      </c>
      <c r="AJ15" s="132">
        <v>-1018228</v>
      </c>
      <c r="AK15" s="109">
        <f>+AJ15/AI10*100</f>
        <v>-10974.649708989005</v>
      </c>
      <c r="AL15" s="105" t="s">
        <v>132</v>
      </c>
      <c r="AM15" s="132">
        <f>15964746+365778</f>
        <v>16330524</v>
      </c>
      <c r="AN15" s="109">
        <f>+AM15/AL10*100</f>
        <v>25.755731803082949</v>
      </c>
      <c r="AO15" s="89">
        <v>365778</v>
      </c>
    </row>
    <row r="16" spans="2:41">
      <c r="B16" s="100" t="s">
        <v>144</v>
      </c>
      <c r="C16" s="101" t="s">
        <v>145</v>
      </c>
      <c r="D16" s="105" t="s">
        <v>132</v>
      </c>
      <c r="E16" s="126">
        <v>7122697.6399999997</v>
      </c>
      <c r="F16" s="110">
        <f t="shared" si="8"/>
        <v>6.5332731215705335</v>
      </c>
      <c r="G16" s="105" t="s">
        <v>132</v>
      </c>
      <c r="H16" s="127">
        <v>263896</v>
      </c>
      <c r="I16" s="112">
        <f>+H16/G10*100</f>
        <v>7.7619759383099035E-2</v>
      </c>
      <c r="J16" s="106">
        <f>+H16/E16</f>
        <v>3.7050007362098278E-2</v>
      </c>
      <c r="K16" s="105" t="s">
        <v>132</v>
      </c>
      <c r="L16" s="117">
        <v>19651135</v>
      </c>
      <c r="M16" s="129"/>
      <c r="N16" s="105" t="s">
        <v>132</v>
      </c>
      <c r="O16" s="133">
        <v>13156099</v>
      </c>
      <c r="P16" s="116">
        <f>+O16/N10*100</f>
        <v>2.8279062871839016</v>
      </c>
      <c r="Q16" s="105" t="s">
        <v>132</v>
      </c>
      <c r="R16" s="130">
        <v>12018063</v>
      </c>
      <c r="S16" s="108">
        <f>+R16/Q10*100</f>
        <v>3.739678632099567</v>
      </c>
      <c r="T16" s="105" t="s">
        <v>132</v>
      </c>
      <c r="U16" s="131">
        <v>6104388</v>
      </c>
      <c r="V16" s="108">
        <f>+U16/T10*100</f>
        <v>3.0852950975275149</v>
      </c>
      <c r="W16" s="105" t="s">
        <v>132</v>
      </c>
      <c r="X16" s="113">
        <v>5439113</v>
      </c>
      <c r="Y16" s="116">
        <f>+X16/W10*100</f>
        <v>3.8170982222130867</v>
      </c>
      <c r="Z16" s="105" t="s">
        <v>132</v>
      </c>
      <c r="AA16" s="130">
        <v>293553</v>
      </c>
      <c r="AB16" s="108" t="e">
        <f>+AA16/Z10*100</f>
        <v>#DIV/0!</v>
      </c>
      <c r="AC16" s="105" t="s">
        <v>132</v>
      </c>
      <c r="AD16" s="133">
        <v>1165300</v>
      </c>
      <c r="AE16" s="108">
        <f>+AD16/AC10*100</f>
        <v>20.966216377902153</v>
      </c>
      <c r="AF16" s="105" t="s">
        <v>132</v>
      </c>
      <c r="AG16" s="117">
        <v>459591</v>
      </c>
      <c r="AH16" s="109">
        <f>+AG16/AF10*100</f>
        <v>682.41224683732253</v>
      </c>
      <c r="AI16" s="105" t="s">
        <v>132</v>
      </c>
      <c r="AJ16" s="118">
        <v>693841</v>
      </c>
      <c r="AK16" s="109">
        <f>+AJ16/AI10*100</f>
        <v>7478.3466264281087</v>
      </c>
      <c r="AL16" s="105" t="s">
        <v>132</v>
      </c>
      <c r="AM16" s="118">
        <f>2964963+53275</f>
        <v>3018238</v>
      </c>
      <c r="AN16" s="109">
        <f>+AM16/AL10*100</f>
        <v>4.7602225406774128</v>
      </c>
      <c r="AO16" s="89">
        <v>53275</v>
      </c>
    </row>
    <row r="17" spans="2:40" ht="29.25" customHeight="1">
      <c r="B17" s="100" t="s">
        <v>146</v>
      </c>
      <c r="C17" s="101" t="s">
        <v>147</v>
      </c>
      <c r="D17" s="103" t="s">
        <v>132</v>
      </c>
      <c r="E17" s="111"/>
      <c r="F17" s="134"/>
      <c r="G17" s="103" t="s">
        <v>132</v>
      </c>
      <c r="H17" s="111"/>
      <c r="I17" s="112"/>
      <c r="J17" s="108"/>
      <c r="K17" s="103" t="s">
        <v>132</v>
      </c>
      <c r="L17" s="111"/>
      <c r="M17" s="111"/>
      <c r="N17" s="103" t="s">
        <v>132</v>
      </c>
      <c r="O17" s="111"/>
      <c r="P17" s="114"/>
      <c r="Q17" s="103" t="s">
        <v>132</v>
      </c>
      <c r="R17" s="111"/>
      <c r="S17" s="108"/>
      <c r="T17" s="103" t="s">
        <v>132</v>
      </c>
      <c r="U17" s="111"/>
      <c r="V17" s="108"/>
      <c r="W17" s="103" t="s">
        <v>132</v>
      </c>
      <c r="X17" s="111"/>
      <c r="Y17" s="116"/>
      <c r="Z17" s="103" t="s">
        <v>132</v>
      </c>
      <c r="AA17" s="111"/>
      <c r="AB17" s="108"/>
      <c r="AC17" s="103" t="s">
        <v>132</v>
      </c>
      <c r="AD17" s="111"/>
      <c r="AE17" s="108"/>
      <c r="AF17" s="103" t="s">
        <v>132</v>
      </c>
      <c r="AG17" s="111"/>
      <c r="AH17" s="99"/>
      <c r="AI17" s="103" t="s">
        <v>132</v>
      </c>
      <c r="AJ17" s="111"/>
      <c r="AK17" s="99"/>
      <c r="AL17" s="103" t="s">
        <v>132</v>
      </c>
      <c r="AM17" s="111"/>
      <c r="AN17" s="99"/>
    </row>
    <row r="18" spans="2:40">
      <c r="B18" s="100" t="s">
        <v>148</v>
      </c>
      <c r="C18" s="101" t="s">
        <v>149</v>
      </c>
      <c r="D18" s="126">
        <v>1160827.3799999999</v>
      </c>
      <c r="E18" s="105" t="s">
        <v>132</v>
      </c>
      <c r="F18" s="120">
        <f t="shared" ref="F18:F24" si="10">+D18/$D$10*100</f>
        <v>1.0647654447588124</v>
      </c>
      <c r="G18" s="127">
        <v>2165007</v>
      </c>
      <c r="H18" s="105" t="s">
        <v>132</v>
      </c>
      <c r="I18" s="112">
        <f>+G18/G10*100</f>
        <v>0.6367937460314862</v>
      </c>
      <c r="J18" s="106">
        <f>+G18/D18</f>
        <v>1.8650550782149886</v>
      </c>
      <c r="K18" s="135">
        <f>63431650-23200</f>
        <v>63408450</v>
      </c>
      <c r="L18" s="105" t="s">
        <v>132</v>
      </c>
      <c r="M18" s="136"/>
      <c r="N18" s="137">
        <v>1904350</v>
      </c>
      <c r="O18" s="105" t="s">
        <v>132</v>
      </c>
      <c r="P18" s="116">
        <f>+N18/N10*100</f>
        <v>0.40934043883362858</v>
      </c>
      <c r="Q18" s="138">
        <v>2797150</v>
      </c>
      <c r="R18" s="105" t="s">
        <v>132</v>
      </c>
      <c r="S18" s="108">
        <f>+Q18/Q10*100</f>
        <v>0.8703933475616914</v>
      </c>
      <c r="T18" s="139">
        <v>3614482</v>
      </c>
      <c r="U18" s="105" t="s">
        <v>132</v>
      </c>
      <c r="V18" s="108">
        <f>+T18/T10*100</f>
        <v>1.8268405603807374</v>
      </c>
      <c r="W18" s="139">
        <v>803650</v>
      </c>
      <c r="X18" s="105" t="s">
        <v>132</v>
      </c>
      <c r="Y18" s="116">
        <f>+W18/W10*100</f>
        <v>0.56399103792871141</v>
      </c>
      <c r="Z18" s="139">
        <v>1487182</v>
      </c>
      <c r="AA18" s="105" t="s">
        <v>132</v>
      </c>
      <c r="AB18" s="108" t="e">
        <f>+Z18/Z10*100</f>
        <v>#DIV/0!</v>
      </c>
      <c r="AC18" s="119">
        <v>28529</v>
      </c>
      <c r="AD18" s="105" t="s">
        <v>132</v>
      </c>
      <c r="AE18" s="108">
        <f>+AC18/AC10*100</f>
        <v>0.51329716557553462</v>
      </c>
      <c r="AF18" s="140">
        <v>39402</v>
      </c>
      <c r="AG18" s="105" t="s">
        <v>132</v>
      </c>
      <c r="AH18" s="99"/>
      <c r="AI18" s="140">
        <v>232194</v>
      </c>
      <c r="AJ18" s="105" t="s">
        <v>132</v>
      </c>
      <c r="AK18" s="99"/>
      <c r="AL18" s="140">
        <f>17221+807733</f>
        <v>824954</v>
      </c>
      <c r="AM18" s="105" t="s">
        <v>132</v>
      </c>
      <c r="AN18" s="99"/>
    </row>
    <row r="19" spans="2:40" ht="18" customHeight="1">
      <c r="B19" s="100" t="s">
        <v>150</v>
      </c>
      <c r="C19" s="101" t="s">
        <v>151</v>
      </c>
      <c r="D19" s="119">
        <f>D12+D18-E13</f>
        <v>2609956.4799999967</v>
      </c>
      <c r="E19" s="119">
        <v>0</v>
      </c>
      <c r="F19" s="120">
        <f t="shared" si="10"/>
        <v>2.3939747804952201</v>
      </c>
      <c r="G19" s="119">
        <f>G12-H13+G18</f>
        <v>8034826</v>
      </c>
      <c r="H19" s="119" t="s">
        <v>137</v>
      </c>
      <c r="I19" s="112">
        <f>+G19/G10*100</f>
        <v>2.3632842513909575</v>
      </c>
      <c r="J19" s="106">
        <f>+G19/D19</f>
        <v>3.0785287270383948</v>
      </c>
      <c r="K19" s="119">
        <f>K12-L13+K18</f>
        <v>60000327</v>
      </c>
      <c r="L19" s="119" t="s">
        <v>137</v>
      </c>
      <c r="M19" s="119"/>
      <c r="N19" s="119">
        <f>N12-O13+N18</f>
        <v>84750663</v>
      </c>
      <c r="O19" s="119" t="s">
        <v>137</v>
      </c>
      <c r="P19" s="108">
        <f>+N19/N10*100</f>
        <v>18.21717309520885</v>
      </c>
      <c r="Q19" s="119">
        <f>Q12+Q18-R13</f>
        <v>55000225</v>
      </c>
      <c r="R19" s="119"/>
      <c r="S19" s="108">
        <f>+Q19/Q10*100</f>
        <v>17.114502244926523</v>
      </c>
      <c r="T19" s="119">
        <f>T12+T18-U13</f>
        <v>4369741</v>
      </c>
      <c r="U19" s="119"/>
      <c r="V19" s="108">
        <f>+T19/T10*100</f>
        <v>2.2085654589395336</v>
      </c>
      <c r="W19" s="119">
        <f>W12+W18-X13</f>
        <v>-9560904</v>
      </c>
      <c r="X19" s="119"/>
      <c r="Y19" s="116">
        <f>+W19/W10*100</f>
        <v>-6.7097171287211692</v>
      </c>
      <c r="Z19" s="119">
        <f>Z12+Z18-AA13</f>
        <v>568435</v>
      </c>
      <c r="AA19" s="119"/>
      <c r="AB19" s="108" t="e">
        <f>+Z19/Z10*100</f>
        <v>#DIV/0!</v>
      </c>
      <c r="AC19" s="119">
        <f>AC12+AC18-AD13</f>
        <v>1019266</v>
      </c>
      <c r="AD19" s="119"/>
      <c r="AE19" s="108">
        <f>+AC19/AC10*100</f>
        <v>18.338755258421706</v>
      </c>
      <c r="AF19" s="119">
        <f>AF12+AF18-AG13</f>
        <v>8367177</v>
      </c>
      <c r="AG19" s="119"/>
      <c r="AH19" s="109">
        <f>+AF19/AF10*100</f>
        <v>12423.794322028865</v>
      </c>
      <c r="AI19" s="119">
        <f>AI12+AI18-AJ13</f>
        <v>-7280</v>
      </c>
      <c r="AJ19" s="119"/>
      <c r="AK19" s="109">
        <f>+AI19/AI10*100</f>
        <v>-78.465186462599704</v>
      </c>
      <c r="AL19" s="119">
        <f>AL12+AL18-AM13</f>
        <v>-9026575</v>
      </c>
      <c r="AM19" s="119"/>
      <c r="AN19" s="109">
        <f>+AL19/AL10*100</f>
        <v>-14.236288119132823</v>
      </c>
    </row>
    <row r="20" spans="2:40" ht="25.5">
      <c r="B20" s="100" t="s">
        <v>152</v>
      </c>
      <c r="C20" s="101" t="s">
        <v>153</v>
      </c>
      <c r="D20" s="119">
        <f>+D21+D22+D24</f>
        <v>546913.43000000005</v>
      </c>
      <c r="E20" s="103" t="s">
        <v>132</v>
      </c>
      <c r="F20" s="120">
        <f t="shared" si="10"/>
        <v>0.50165470902186826</v>
      </c>
      <c r="G20" s="104">
        <f>+G21+G22+G23+G24+G25</f>
        <v>564645</v>
      </c>
      <c r="H20" s="103" t="s">
        <v>132</v>
      </c>
      <c r="I20" s="112">
        <f>+G20/G10*100</f>
        <v>0.16607909569250748</v>
      </c>
      <c r="J20" s="106">
        <f>+G20/D20</f>
        <v>1.0324211639856786</v>
      </c>
      <c r="K20" s="119">
        <f>+K21+K22+K23+K24+K25</f>
        <v>7220575</v>
      </c>
      <c r="L20" s="103" t="s">
        <v>132</v>
      </c>
      <c r="M20" s="103"/>
      <c r="N20" s="119">
        <v>0</v>
      </c>
      <c r="O20" s="103" t="s">
        <v>132</v>
      </c>
      <c r="P20" s="108"/>
      <c r="Q20" s="119">
        <v>0</v>
      </c>
      <c r="R20" s="103" t="s">
        <v>132</v>
      </c>
      <c r="S20" s="108"/>
      <c r="T20" s="119">
        <v>0</v>
      </c>
      <c r="U20" s="103" t="s">
        <v>132</v>
      </c>
      <c r="V20" s="103"/>
      <c r="W20" s="119">
        <v>0</v>
      </c>
      <c r="X20" s="103" t="s">
        <v>132</v>
      </c>
      <c r="Y20" s="116"/>
      <c r="Z20" s="119">
        <f>+Z22</f>
        <v>0</v>
      </c>
      <c r="AA20" s="103" t="s">
        <v>132</v>
      </c>
      <c r="AB20" s="103"/>
      <c r="AC20" s="119">
        <f>+AC24</f>
        <v>0</v>
      </c>
      <c r="AD20" s="103" t="s">
        <v>132</v>
      </c>
      <c r="AE20" s="103"/>
      <c r="AF20" s="119">
        <v>0</v>
      </c>
      <c r="AG20" s="103" t="s">
        <v>132</v>
      </c>
      <c r="AH20" s="99"/>
      <c r="AI20" s="119">
        <v>0</v>
      </c>
      <c r="AJ20" s="103" t="s">
        <v>132</v>
      </c>
      <c r="AK20" s="99"/>
      <c r="AL20" s="119">
        <f>+AL24</f>
        <v>29</v>
      </c>
      <c r="AM20" s="103" t="s">
        <v>132</v>
      </c>
      <c r="AN20" s="99"/>
    </row>
    <row r="21" spans="2:40">
      <c r="B21" s="100" t="s">
        <v>154</v>
      </c>
      <c r="C21" s="101" t="s">
        <v>155</v>
      </c>
      <c r="D21" s="123"/>
      <c r="E21" s="105" t="s">
        <v>132</v>
      </c>
      <c r="F21" s="120">
        <f t="shared" si="10"/>
        <v>0</v>
      </c>
      <c r="G21" s="104"/>
      <c r="H21" s="105" t="s">
        <v>132</v>
      </c>
      <c r="I21" s="112">
        <f>+G21/G10*100</f>
        <v>0</v>
      </c>
      <c r="J21" s="106" t="e">
        <f>+G21/D21</f>
        <v>#DIV/0!</v>
      </c>
      <c r="K21" s="140">
        <v>4178925</v>
      </c>
      <c r="L21" s="105" t="s">
        <v>132</v>
      </c>
      <c r="M21" s="105"/>
      <c r="N21" s="124"/>
      <c r="O21" s="105" t="s">
        <v>132</v>
      </c>
      <c r="P21" s="112"/>
      <c r="Q21" s="124"/>
      <c r="R21" s="105" t="s">
        <v>132</v>
      </c>
      <c r="S21" s="112"/>
      <c r="T21" s="124"/>
      <c r="U21" s="105" t="s">
        <v>132</v>
      </c>
      <c r="V21" s="105"/>
      <c r="W21" s="138"/>
      <c r="X21" s="105" t="s">
        <v>132</v>
      </c>
      <c r="Y21" s="105"/>
      <c r="Z21" s="124"/>
      <c r="AA21" s="105" t="s">
        <v>132</v>
      </c>
      <c r="AB21" s="105"/>
      <c r="AC21" s="124"/>
      <c r="AD21" s="105" t="s">
        <v>132</v>
      </c>
      <c r="AE21" s="105"/>
      <c r="AF21" s="124"/>
      <c r="AG21" s="105" t="s">
        <v>132</v>
      </c>
      <c r="AH21" s="99"/>
      <c r="AI21" s="124"/>
      <c r="AJ21" s="105" t="s">
        <v>132</v>
      </c>
      <c r="AK21" s="99"/>
      <c r="AL21" s="124"/>
      <c r="AM21" s="105" t="s">
        <v>132</v>
      </c>
      <c r="AN21" s="99"/>
    </row>
    <row r="22" spans="2:40">
      <c r="B22" s="100" t="s">
        <v>156</v>
      </c>
      <c r="C22" s="101" t="s">
        <v>157</v>
      </c>
      <c r="D22" s="126">
        <v>468077.01</v>
      </c>
      <c r="E22" s="105" t="s">
        <v>132</v>
      </c>
      <c r="F22" s="120">
        <f t="shared" si="10"/>
        <v>0.42934223840759611</v>
      </c>
      <c r="G22" s="127">
        <v>211821</v>
      </c>
      <c r="H22" s="105" t="s">
        <v>132</v>
      </c>
      <c r="I22" s="112">
        <f>+G22/G10*100</f>
        <v>6.2302933929606445E-2</v>
      </c>
      <c r="J22" s="106">
        <f>+G22/D22</f>
        <v>0.45253450922530886</v>
      </c>
      <c r="K22" s="117">
        <v>2767038</v>
      </c>
      <c r="L22" s="105" t="s">
        <v>132</v>
      </c>
      <c r="M22" s="105"/>
      <c r="N22" s="124"/>
      <c r="O22" s="105" t="s">
        <v>132</v>
      </c>
      <c r="P22" s="112"/>
      <c r="Q22" s="124"/>
      <c r="R22" s="105" t="s">
        <v>132</v>
      </c>
      <c r="S22" s="112"/>
      <c r="T22" s="124"/>
      <c r="U22" s="105" t="s">
        <v>132</v>
      </c>
      <c r="V22" s="105"/>
      <c r="W22" s="124"/>
      <c r="X22" s="105" t="s">
        <v>132</v>
      </c>
      <c r="Y22" s="105"/>
      <c r="Z22" s="135"/>
      <c r="AA22" s="105" t="s">
        <v>132</v>
      </c>
      <c r="AB22" s="105"/>
      <c r="AC22" s="124"/>
      <c r="AD22" s="105" t="s">
        <v>132</v>
      </c>
      <c r="AE22" s="105"/>
      <c r="AF22" s="124"/>
      <c r="AG22" s="105" t="s">
        <v>132</v>
      </c>
      <c r="AH22" s="99"/>
      <c r="AI22" s="124"/>
      <c r="AJ22" s="105" t="s">
        <v>132</v>
      </c>
      <c r="AK22" s="99"/>
      <c r="AL22" s="124"/>
      <c r="AM22" s="105" t="s">
        <v>132</v>
      </c>
      <c r="AN22" s="99"/>
    </row>
    <row r="23" spans="2:40">
      <c r="B23" s="100" t="s">
        <v>158</v>
      </c>
      <c r="C23" s="101" t="s">
        <v>159</v>
      </c>
      <c r="D23" s="123">
        <v>0</v>
      </c>
      <c r="E23" s="105" t="s">
        <v>132</v>
      </c>
      <c r="F23" s="120">
        <f t="shared" si="10"/>
        <v>0</v>
      </c>
      <c r="G23" s="104"/>
      <c r="H23" s="105" t="s">
        <v>132</v>
      </c>
      <c r="I23" s="112"/>
      <c r="J23" s="106">
        <v>0</v>
      </c>
      <c r="K23" s="124"/>
      <c r="L23" s="105" t="s">
        <v>132</v>
      </c>
      <c r="M23" s="105"/>
      <c r="N23" s="124"/>
      <c r="O23" s="105" t="s">
        <v>132</v>
      </c>
      <c r="P23" s="112"/>
      <c r="Q23" s="124"/>
      <c r="R23" s="105" t="s">
        <v>132</v>
      </c>
      <c r="S23" s="105"/>
      <c r="T23" s="124"/>
      <c r="U23" s="105" t="s">
        <v>132</v>
      </c>
      <c r="V23" s="105"/>
      <c r="W23" s="124"/>
      <c r="X23" s="105" t="s">
        <v>132</v>
      </c>
      <c r="Y23" s="105"/>
      <c r="Z23" s="124"/>
      <c r="AA23" s="105" t="s">
        <v>132</v>
      </c>
      <c r="AB23" s="105"/>
      <c r="AC23" s="124"/>
      <c r="AD23" s="105" t="s">
        <v>132</v>
      </c>
      <c r="AE23" s="105"/>
      <c r="AF23" s="124"/>
      <c r="AG23" s="105" t="s">
        <v>132</v>
      </c>
      <c r="AH23" s="99"/>
      <c r="AI23" s="124"/>
      <c r="AJ23" s="105" t="s">
        <v>132</v>
      </c>
      <c r="AK23" s="99"/>
      <c r="AL23" s="124"/>
      <c r="AM23" s="105" t="s">
        <v>132</v>
      </c>
      <c r="AN23" s="99"/>
    </row>
    <row r="24" spans="2:40">
      <c r="B24" s="100" t="s">
        <v>160</v>
      </c>
      <c r="C24" s="101" t="s">
        <v>161</v>
      </c>
      <c r="D24" s="126">
        <v>78836.42</v>
      </c>
      <c r="E24" s="105" t="s">
        <v>132</v>
      </c>
      <c r="F24" s="120">
        <f t="shared" si="10"/>
        <v>7.2312470614272151E-2</v>
      </c>
      <c r="G24" s="127">
        <v>352824</v>
      </c>
      <c r="H24" s="105" t="s">
        <v>132</v>
      </c>
      <c r="I24" s="112">
        <f>+G24/G10*100</f>
        <v>0.10377616176290105</v>
      </c>
      <c r="J24" s="106">
        <f>+G24/D24</f>
        <v>4.4753934793081678</v>
      </c>
      <c r="K24" s="117">
        <v>274612</v>
      </c>
      <c r="L24" s="105" t="s">
        <v>132</v>
      </c>
      <c r="M24" s="105"/>
      <c r="N24" s="124"/>
      <c r="O24" s="105" t="s">
        <v>132</v>
      </c>
      <c r="P24" s="112"/>
      <c r="Q24" s="124"/>
      <c r="R24" s="105" t="s">
        <v>132</v>
      </c>
      <c r="S24" s="105"/>
      <c r="T24" s="124"/>
      <c r="U24" s="105" t="s">
        <v>132</v>
      </c>
      <c r="V24" s="105"/>
      <c r="W24" s="124"/>
      <c r="X24" s="105" t="s">
        <v>132</v>
      </c>
      <c r="Y24" s="105"/>
      <c r="Z24" s="135"/>
      <c r="AA24" s="105" t="s">
        <v>132</v>
      </c>
      <c r="AB24" s="105"/>
      <c r="AC24" s="135"/>
      <c r="AD24" s="105" t="s">
        <v>132</v>
      </c>
      <c r="AE24" s="105"/>
      <c r="AF24" s="124"/>
      <c r="AG24" s="105" t="s">
        <v>132</v>
      </c>
      <c r="AH24" s="99"/>
      <c r="AI24" s="124"/>
      <c r="AJ24" s="105" t="s">
        <v>132</v>
      </c>
      <c r="AK24" s="99"/>
      <c r="AL24" s="124">
        <v>29</v>
      </c>
      <c r="AM24" s="105" t="s">
        <v>132</v>
      </c>
      <c r="AN24" s="99"/>
    </row>
    <row r="25" spans="2:40">
      <c r="B25" s="100" t="s">
        <v>162</v>
      </c>
      <c r="C25" s="101" t="s">
        <v>163</v>
      </c>
      <c r="D25" s="123">
        <v>0</v>
      </c>
      <c r="E25" s="105" t="s">
        <v>132</v>
      </c>
      <c r="F25" s="108"/>
      <c r="G25" s="104"/>
      <c r="H25" s="105" t="s">
        <v>132</v>
      </c>
      <c r="I25" s="105"/>
      <c r="J25" s="105"/>
      <c r="K25" s="124"/>
      <c r="L25" s="105" t="s">
        <v>132</v>
      </c>
      <c r="M25" s="105"/>
      <c r="N25" s="124"/>
      <c r="O25" s="105" t="s">
        <v>132</v>
      </c>
      <c r="P25" s="112"/>
      <c r="Q25" s="124"/>
      <c r="R25" s="105" t="s">
        <v>132</v>
      </c>
      <c r="S25" s="105"/>
      <c r="T25" s="124"/>
      <c r="U25" s="105" t="s">
        <v>132</v>
      </c>
      <c r="V25" s="105"/>
      <c r="W25" s="124"/>
      <c r="X25" s="105" t="s">
        <v>132</v>
      </c>
      <c r="Y25" s="105"/>
      <c r="Z25" s="124"/>
      <c r="AA25" s="105" t="s">
        <v>132</v>
      </c>
      <c r="AB25" s="105"/>
      <c r="AC25" s="124"/>
      <c r="AD25" s="105" t="s">
        <v>132</v>
      </c>
      <c r="AE25" s="105"/>
      <c r="AF25" s="124"/>
      <c r="AG25" s="105" t="s">
        <v>132</v>
      </c>
      <c r="AH25" s="99"/>
      <c r="AI25" s="124"/>
      <c r="AJ25" s="105" t="s">
        <v>132</v>
      </c>
      <c r="AK25" s="99"/>
      <c r="AL25" s="124"/>
      <c r="AM25" s="105" t="s">
        <v>132</v>
      </c>
      <c r="AN25" s="99"/>
    </row>
    <row r="26" spans="2:40" ht="25.5">
      <c r="B26" s="100" t="s">
        <v>164</v>
      </c>
      <c r="C26" s="101" t="s">
        <v>165</v>
      </c>
      <c r="D26" s="103" t="s">
        <v>132</v>
      </c>
      <c r="E26" s="119">
        <f>+E29</f>
        <v>92880.78</v>
      </c>
      <c r="F26" s="141">
        <f>+E26/$D$10*100</f>
        <v>8.5194617847698786E-2</v>
      </c>
      <c r="G26" s="103" t="s">
        <v>132</v>
      </c>
      <c r="H26" s="119">
        <f>+H29</f>
        <v>419871</v>
      </c>
      <c r="I26" s="142">
        <f>+H26/G10*100</f>
        <v>0.12349670321619569</v>
      </c>
      <c r="J26" s="106">
        <f>+H26/E26</f>
        <v>4.5205369722347291</v>
      </c>
      <c r="K26" s="103" t="s">
        <v>132</v>
      </c>
      <c r="L26" s="119">
        <f>+L29</f>
        <v>419871</v>
      </c>
      <c r="M26" s="119"/>
      <c r="N26" s="103" t="s">
        <v>132</v>
      </c>
      <c r="O26" s="119">
        <v>0</v>
      </c>
      <c r="P26" s="120"/>
      <c r="Q26" s="103" t="s">
        <v>132</v>
      </c>
      <c r="R26" s="119">
        <v>0</v>
      </c>
      <c r="S26" s="119"/>
      <c r="T26" s="103" t="s">
        <v>132</v>
      </c>
      <c r="U26" s="119">
        <v>0</v>
      </c>
      <c r="V26" s="119"/>
      <c r="W26" s="103" t="s">
        <v>132</v>
      </c>
      <c r="X26" s="119">
        <v>0</v>
      </c>
      <c r="Y26" s="119"/>
      <c r="Z26" s="103" t="s">
        <v>132</v>
      </c>
      <c r="AA26" s="119">
        <v>0</v>
      </c>
      <c r="AB26" s="119"/>
      <c r="AC26" s="103" t="s">
        <v>132</v>
      </c>
      <c r="AD26" s="119">
        <f>+AD27+AD28+AD29+AD30</f>
        <v>0</v>
      </c>
      <c r="AE26" s="119"/>
      <c r="AF26" s="103" t="s">
        <v>132</v>
      </c>
      <c r="AG26" s="119">
        <v>0</v>
      </c>
      <c r="AH26" s="99"/>
      <c r="AI26" s="103" t="s">
        <v>132</v>
      </c>
      <c r="AJ26" s="119">
        <v>0</v>
      </c>
      <c r="AK26" s="99"/>
      <c r="AL26" s="103" t="s">
        <v>132</v>
      </c>
      <c r="AM26" s="119">
        <v>0</v>
      </c>
      <c r="AN26" s="99"/>
    </row>
    <row r="27" spans="2:40">
      <c r="B27" s="100" t="s">
        <v>166</v>
      </c>
      <c r="C27" s="101" t="s">
        <v>167</v>
      </c>
      <c r="D27" s="105"/>
      <c r="E27" s="124"/>
      <c r="F27" s="143"/>
      <c r="G27" s="105"/>
      <c r="H27" s="124"/>
      <c r="I27" s="124"/>
      <c r="J27" s="124"/>
      <c r="K27" s="105"/>
      <c r="L27" s="124"/>
      <c r="M27" s="124"/>
      <c r="N27" s="105"/>
      <c r="O27" s="124"/>
      <c r="P27" s="144"/>
      <c r="Q27" s="105"/>
      <c r="R27" s="124"/>
      <c r="S27" s="124"/>
      <c r="T27" s="105"/>
      <c r="U27" s="124"/>
      <c r="V27" s="124"/>
      <c r="W27" s="105"/>
      <c r="X27" s="124"/>
      <c r="Y27" s="124"/>
      <c r="Z27" s="105"/>
      <c r="AA27" s="124"/>
      <c r="AB27" s="124"/>
      <c r="AC27" s="105"/>
      <c r="AD27" s="124"/>
      <c r="AE27" s="124"/>
      <c r="AF27" s="105"/>
      <c r="AG27" s="124"/>
      <c r="AH27" s="99"/>
      <c r="AI27" s="105"/>
      <c r="AJ27" s="124"/>
      <c r="AK27" s="99"/>
      <c r="AL27" s="105"/>
      <c r="AM27" s="124"/>
      <c r="AN27" s="99"/>
    </row>
    <row r="28" spans="2:40">
      <c r="B28" s="100" t="s">
        <v>168</v>
      </c>
      <c r="C28" s="101" t="s">
        <v>169</v>
      </c>
      <c r="D28" s="103" t="s">
        <v>132</v>
      </c>
      <c r="E28" s="111"/>
      <c r="F28" s="145"/>
      <c r="G28" s="103" t="s">
        <v>132</v>
      </c>
      <c r="H28" s="111"/>
      <c r="I28" s="111"/>
      <c r="J28" s="111"/>
      <c r="K28" s="103" t="s">
        <v>132</v>
      </c>
      <c r="L28" s="111"/>
      <c r="M28" s="111"/>
      <c r="N28" s="103" t="s">
        <v>132</v>
      </c>
      <c r="O28" s="111"/>
      <c r="P28" s="134"/>
      <c r="Q28" s="103" t="s">
        <v>132</v>
      </c>
      <c r="R28" s="111"/>
      <c r="S28" s="111"/>
      <c r="T28" s="103" t="s">
        <v>132</v>
      </c>
      <c r="U28" s="111"/>
      <c r="V28" s="111"/>
      <c r="W28" s="103" t="s">
        <v>132</v>
      </c>
      <c r="X28" s="111"/>
      <c r="Y28" s="111"/>
      <c r="Z28" s="103" t="s">
        <v>132</v>
      </c>
      <c r="AA28" s="111"/>
      <c r="AB28" s="111"/>
      <c r="AC28" s="103" t="s">
        <v>132</v>
      </c>
      <c r="AD28" s="111"/>
      <c r="AE28" s="111"/>
      <c r="AF28" s="103" t="s">
        <v>132</v>
      </c>
      <c r="AG28" s="111"/>
      <c r="AH28" s="99"/>
      <c r="AI28" s="103" t="s">
        <v>132</v>
      </c>
      <c r="AJ28" s="111"/>
      <c r="AK28" s="99"/>
      <c r="AL28" s="103" t="s">
        <v>132</v>
      </c>
      <c r="AM28" s="111"/>
      <c r="AN28" s="99"/>
    </row>
    <row r="29" spans="2:40">
      <c r="B29" s="100" t="s">
        <v>170</v>
      </c>
      <c r="C29" s="101" t="s">
        <v>171</v>
      </c>
      <c r="D29" s="105" t="s">
        <v>132</v>
      </c>
      <c r="E29" s="126">
        <v>92880.78</v>
      </c>
      <c r="F29" s="141">
        <f>+E29/$D$10*100</f>
        <v>8.5194617847698786E-2</v>
      </c>
      <c r="G29" s="105" t="s">
        <v>132</v>
      </c>
      <c r="H29" s="111">
        <f>+L29+AA29+AD29+AG29+AJ29+O29+R29+U29+X29+AM29</f>
        <v>419871</v>
      </c>
      <c r="I29" s="142">
        <f>+H29/G10*100</f>
        <v>0.12349670321619569</v>
      </c>
      <c r="J29" s="106">
        <f>+H29/E29</f>
        <v>4.5205369722347291</v>
      </c>
      <c r="K29" s="105" t="s">
        <v>132</v>
      </c>
      <c r="L29" s="127">
        <v>419871</v>
      </c>
      <c r="M29" s="124"/>
      <c r="N29" s="105" t="s">
        <v>132</v>
      </c>
      <c r="O29" s="124"/>
      <c r="P29" s="144"/>
      <c r="Q29" s="105" t="s">
        <v>132</v>
      </c>
      <c r="R29" s="124"/>
      <c r="S29" s="124"/>
      <c r="T29" s="105" t="s">
        <v>132</v>
      </c>
      <c r="U29" s="124"/>
      <c r="V29" s="124"/>
      <c r="W29" s="105" t="s">
        <v>132</v>
      </c>
      <c r="X29" s="124"/>
      <c r="Y29" s="124"/>
      <c r="Z29" s="105" t="s">
        <v>132</v>
      </c>
      <c r="AA29" s="124"/>
      <c r="AB29" s="124"/>
      <c r="AC29" s="105" t="s">
        <v>132</v>
      </c>
      <c r="AD29" s="124"/>
      <c r="AE29" s="124"/>
      <c r="AF29" s="105" t="s">
        <v>132</v>
      </c>
      <c r="AG29" s="124"/>
      <c r="AH29" s="99"/>
      <c r="AI29" s="105" t="s">
        <v>132</v>
      </c>
      <c r="AJ29" s="124"/>
      <c r="AK29" s="99"/>
      <c r="AL29" s="105" t="s">
        <v>132</v>
      </c>
      <c r="AM29" s="124"/>
      <c r="AN29" s="99"/>
    </row>
    <row r="30" spans="2:40">
      <c r="B30" s="100" t="s">
        <v>172</v>
      </c>
      <c r="C30" s="101" t="s">
        <v>173</v>
      </c>
      <c r="D30" s="105" t="s">
        <v>132</v>
      </c>
      <c r="E30" s="124"/>
      <c r="F30" s="144"/>
      <c r="G30" s="105" t="s">
        <v>132</v>
      </c>
      <c r="H30" s="124"/>
      <c r="I30" s="124"/>
      <c r="J30" s="124"/>
      <c r="K30" s="105" t="s">
        <v>132</v>
      </c>
      <c r="L30" s="124"/>
      <c r="M30" s="124"/>
      <c r="N30" s="105" t="s">
        <v>132</v>
      </c>
      <c r="O30" s="124"/>
      <c r="P30" s="144"/>
      <c r="Q30" s="105" t="s">
        <v>132</v>
      </c>
      <c r="R30" s="124"/>
      <c r="S30" s="124"/>
      <c r="T30" s="105" t="s">
        <v>132</v>
      </c>
      <c r="U30" s="124"/>
      <c r="V30" s="124"/>
      <c r="W30" s="105" t="s">
        <v>132</v>
      </c>
      <c r="X30" s="124"/>
      <c r="Y30" s="124"/>
      <c r="Z30" s="105" t="s">
        <v>132</v>
      </c>
      <c r="AA30" s="124"/>
      <c r="AB30" s="124"/>
      <c r="AC30" s="105" t="s">
        <v>132</v>
      </c>
      <c r="AD30" s="124"/>
      <c r="AE30" s="124"/>
      <c r="AF30" s="105" t="s">
        <v>132</v>
      </c>
      <c r="AG30" s="124"/>
      <c r="AH30" s="99"/>
      <c r="AI30" s="105" t="s">
        <v>132</v>
      </c>
      <c r="AJ30" s="124"/>
      <c r="AK30" s="99"/>
      <c r="AL30" s="105" t="s">
        <v>132</v>
      </c>
      <c r="AM30" s="124"/>
      <c r="AN30" s="99"/>
    </row>
    <row r="31" spans="2:40" ht="27" customHeight="1">
      <c r="B31" s="100" t="s">
        <v>174</v>
      </c>
      <c r="C31" s="101" t="s">
        <v>175</v>
      </c>
      <c r="D31" s="119">
        <f>D19+D20-E26</f>
        <v>3063989.1299999971</v>
      </c>
      <c r="E31" s="119">
        <v>0</v>
      </c>
      <c r="F31" s="120">
        <f>+D31/$D$10*100</f>
        <v>2.8104348716693894</v>
      </c>
      <c r="G31" s="119">
        <f>G19+G20-H26</f>
        <v>8179600</v>
      </c>
      <c r="H31" s="119" t="s">
        <v>137</v>
      </c>
      <c r="I31" s="135">
        <f>+G31/G10*100</f>
        <v>2.4058666438672693</v>
      </c>
      <c r="J31" s="106">
        <f>+G31/D31</f>
        <v>2.6695917162082123</v>
      </c>
      <c r="K31" s="119">
        <f>K19+K20-L26</f>
        <v>66801031</v>
      </c>
      <c r="L31" s="119" t="s">
        <v>137</v>
      </c>
      <c r="M31" s="119"/>
      <c r="N31" s="119">
        <f>N19+N20-O26</f>
        <v>84750663</v>
      </c>
      <c r="O31" s="119" t="s">
        <v>137</v>
      </c>
      <c r="P31" s="120"/>
      <c r="Q31" s="119">
        <f>Q19+Q20-R26+Q25</f>
        <v>55000225</v>
      </c>
      <c r="R31" s="119" t="s">
        <v>137</v>
      </c>
      <c r="S31" s="119"/>
      <c r="T31" s="119">
        <f>T19+T20-U26+T25</f>
        <v>4369741</v>
      </c>
      <c r="U31" s="119" t="s">
        <v>137</v>
      </c>
      <c r="V31" s="119"/>
      <c r="W31" s="119">
        <f>W19+W20-X26+W25</f>
        <v>-9560904</v>
      </c>
      <c r="X31" s="119" t="s">
        <v>137</v>
      </c>
      <c r="Y31" s="119"/>
      <c r="Z31" s="119">
        <f>Z19+Z20-AA26+Z25</f>
        <v>568435</v>
      </c>
      <c r="AA31" s="119" t="s">
        <v>137</v>
      </c>
      <c r="AB31" s="120" t="e">
        <f>+Z31/Z10*100</f>
        <v>#DIV/0!</v>
      </c>
      <c r="AC31" s="119">
        <f>AC19+AC20-AD26+AC25</f>
        <v>1019266</v>
      </c>
      <c r="AD31" s="119" t="s">
        <v>137</v>
      </c>
      <c r="AE31" s="119"/>
      <c r="AF31" s="119">
        <f>AF19+AF20-AG26+AF25</f>
        <v>8367177</v>
      </c>
      <c r="AG31" s="119" t="s">
        <v>137</v>
      </c>
      <c r="AH31" s="99"/>
      <c r="AI31" s="119">
        <f>AI19+AI20-AJ26+AI25</f>
        <v>-7280</v>
      </c>
      <c r="AJ31" s="119" t="s">
        <v>137</v>
      </c>
      <c r="AK31" s="99"/>
      <c r="AL31" s="119">
        <f>AL19+AL20-AM26+AL25</f>
        <v>-9026546</v>
      </c>
      <c r="AM31" s="119" t="s">
        <v>137</v>
      </c>
      <c r="AN31" s="99"/>
    </row>
    <row r="32" spans="2:40">
      <c r="B32" s="100" t="s">
        <v>176</v>
      </c>
      <c r="C32" s="101" t="s">
        <v>177</v>
      </c>
      <c r="D32" s="124"/>
      <c r="E32" s="124"/>
      <c r="F32" s="144"/>
      <c r="G32" s="124"/>
      <c r="H32" s="124"/>
      <c r="I32" s="135"/>
      <c r="J32" s="135"/>
      <c r="K32" s="124"/>
      <c r="L32" s="124"/>
      <c r="M32" s="124"/>
      <c r="N32" s="124"/>
      <c r="O32" s="124"/>
      <c r="P32" s="14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99"/>
      <c r="AI32" s="124"/>
      <c r="AJ32" s="124"/>
      <c r="AK32" s="99"/>
      <c r="AL32" s="124"/>
      <c r="AM32" s="124"/>
      <c r="AN32" s="99"/>
    </row>
    <row r="33" spans="2:44" ht="15" customHeight="1">
      <c r="B33" s="100" t="s">
        <v>178</v>
      </c>
      <c r="C33" s="101" t="s">
        <v>179</v>
      </c>
      <c r="D33" s="119">
        <f t="shared" ref="D33" si="11">D31+D32-E32</f>
        <v>3063989.1299999971</v>
      </c>
      <c r="E33" s="119">
        <v>0</v>
      </c>
      <c r="F33" s="120">
        <f>+D33/$D$10*100</f>
        <v>2.8104348716693894</v>
      </c>
      <c r="G33" s="121">
        <f>G31+G32-H32</f>
        <v>8179600</v>
      </c>
      <c r="H33" s="119" t="s">
        <v>137</v>
      </c>
      <c r="I33" s="135">
        <f>+G33/G10*100</f>
        <v>2.4058666438672693</v>
      </c>
      <c r="J33" s="106">
        <f>+G33/D33</f>
        <v>2.6695917162082123</v>
      </c>
      <c r="K33" s="119">
        <f t="shared" ref="K33" si="12">K31+K32-L32</f>
        <v>66801031</v>
      </c>
      <c r="L33" s="119" t="s">
        <v>137</v>
      </c>
      <c r="M33" s="119"/>
      <c r="N33" s="119">
        <f t="shared" ref="N33" si="13">N31+N32-O32</f>
        <v>84750663</v>
      </c>
      <c r="O33" s="119" t="s">
        <v>137</v>
      </c>
      <c r="P33" s="120"/>
      <c r="Q33" s="119">
        <f t="shared" ref="Q33" si="14">Q31+Q32-R32</f>
        <v>55000225</v>
      </c>
      <c r="R33" s="119">
        <f>R19</f>
        <v>0</v>
      </c>
      <c r="S33" s="119"/>
      <c r="T33" s="119">
        <f t="shared" ref="T33" si="15">T31+T32-U32</f>
        <v>4369741</v>
      </c>
      <c r="U33" s="119">
        <f>U19</f>
        <v>0</v>
      </c>
      <c r="V33" s="119"/>
      <c r="W33" s="119">
        <f t="shared" ref="W33" si="16">W31+W32-X32</f>
        <v>-9560904</v>
      </c>
      <c r="X33" s="119">
        <f>X19</f>
        <v>0</v>
      </c>
      <c r="Y33" s="119"/>
      <c r="Z33" s="119">
        <f t="shared" ref="Z33" si="17">Z31+Z32-AA32</f>
        <v>568435</v>
      </c>
      <c r="AA33" s="119">
        <f>AA19</f>
        <v>0</v>
      </c>
      <c r="AB33" s="119"/>
      <c r="AC33" s="119">
        <f t="shared" ref="AC33" si="18">AC31+AC32-AD32</f>
        <v>1019266</v>
      </c>
      <c r="AD33" s="119">
        <f>AD19</f>
        <v>0</v>
      </c>
      <c r="AE33" s="119"/>
      <c r="AF33" s="119">
        <f t="shared" ref="AF33" si="19">AF31+AF32-AG32</f>
        <v>8367177</v>
      </c>
      <c r="AG33" s="119">
        <f>AG19</f>
        <v>0</v>
      </c>
      <c r="AH33" s="99"/>
      <c r="AI33" s="119">
        <f t="shared" ref="AI33" si="20">AI31+AI32-AJ32</f>
        <v>-7280</v>
      </c>
      <c r="AJ33" s="119">
        <f>AJ19</f>
        <v>0</v>
      </c>
      <c r="AK33" s="99"/>
      <c r="AL33" s="119">
        <f t="shared" ref="AL33" si="21">AL31+AL32-AM32</f>
        <v>-9026546</v>
      </c>
      <c r="AM33" s="119">
        <f>AM19</f>
        <v>0</v>
      </c>
      <c r="AN33" s="99"/>
    </row>
    <row r="34" spans="2:44">
      <c r="B34" s="100" t="s">
        <v>180</v>
      </c>
      <c r="C34" s="101" t="s">
        <v>181</v>
      </c>
      <c r="D34" s="105" t="s">
        <v>132</v>
      </c>
      <c r="E34" s="126">
        <v>833334.45</v>
      </c>
      <c r="F34" s="110">
        <f>+E34/$D$10*100</f>
        <v>0.76437353354560811</v>
      </c>
      <c r="G34" s="105" t="s">
        <v>132</v>
      </c>
      <c r="H34" s="111">
        <v>1212472</v>
      </c>
      <c r="I34" s="135">
        <f>+H34/G10*100</f>
        <v>0.35662452215548873</v>
      </c>
      <c r="J34" s="106">
        <f>+H34/E34</f>
        <v>1.4549644503476367</v>
      </c>
      <c r="K34" s="105" t="s">
        <v>132</v>
      </c>
      <c r="L34" s="135"/>
      <c r="M34" s="135"/>
      <c r="N34" s="105" t="s">
        <v>132</v>
      </c>
      <c r="O34" s="124"/>
      <c r="P34" s="144"/>
      <c r="Q34" s="105" t="s">
        <v>132</v>
      </c>
      <c r="R34" s="124"/>
      <c r="S34" s="124"/>
      <c r="T34" s="105" t="s">
        <v>132</v>
      </c>
      <c r="U34" s="124"/>
      <c r="V34" s="124"/>
      <c r="W34" s="105" t="s">
        <v>132</v>
      </c>
      <c r="X34" s="124"/>
      <c r="Y34" s="124"/>
      <c r="Z34" s="105" t="s">
        <v>132</v>
      </c>
      <c r="AA34" s="124"/>
      <c r="AB34" s="124"/>
      <c r="AC34" s="105" t="s">
        <v>132</v>
      </c>
      <c r="AD34" s="124"/>
      <c r="AE34" s="124"/>
      <c r="AF34" s="105" t="s">
        <v>132</v>
      </c>
      <c r="AG34" s="124"/>
      <c r="AH34" s="99"/>
      <c r="AI34" s="105" t="s">
        <v>132</v>
      </c>
      <c r="AJ34" s="124"/>
      <c r="AK34" s="99"/>
      <c r="AL34" s="105" t="s">
        <v>132</v>
      </c>
      <c r="AM34" s="124"/>
      <c r="AN34" s="99"/>
      <c r="AR34" s="89">
        <f>+H34/3</f>
        <v>404157.33333333331</v>
      </c>
    </row>
    <row r="35" spans="2:44" ht="15" customHeight="1">
      <c r="B35" s="100" t="s">
        <v>182</v>
      </c>
      <c r="C35" s="101" t="s">
        <v>183</v>
      </c>
      <c r="D35" s="105" t="s">
        <v>132</v>
      </c>
      <c r="E35" s="124"/>
      <c r="F35" s="144"/>
      <c r="G35" s="105" t="s">
        <v>132</v>
      </c>
      <c r="H35" s="124"/>
      <c r="I35" s="124"/>
      <c r="J35" s="124"/>
      <c r="K35" s="105" t="s">
        <v>132</v>
      </c>
      <c r="L35" s="124"/>
      <c r="M35" s="124"/>
      <c r="N35" s="105" t="s">
        <v>132</v>
      </c>
      <c r="O35" s="124"/>
      <c r="P35" s="124"/>
      <c r="Q35" s="105" t="s">
        <v>132</v>
      </c>
      <c r="R35" s="124"/>
      <c r="S35" s="124"/>
      <c r="T35" s="105" t="s">
        <v>132</v>
      </c>
      <c r="U35" s="124"/>
      <c r="V35" s="124"/>
      <c r="W35" s="105" t="s">
        <v>132</v>
      </c>
      <c r="X35" s="124"/>
      <c r="Y35" s="124"/>
      <c r="Z35" s="105" t="s">
        <v>132</v>
      </c>
      <c r="AA35" s="124"/>
      <c r="AB35" s="124"/>
      <c r="AC35" s="105" t="s">
        <v>132</v>
      </c>
      <c r="AD35" s="124"/>
      <c r="AE35" s="124"/>
      <c r="AF35" s="105" t="s">
        <v>132</v>
      </c>
      <c r="AG35" s="124"/>
      <c r="AH35" s="99"/>
      <c r="AI35" s="105" t="s">
        <v>132</v>
      </c>
      <c r="AJ35" s="124"/>
      <c r="AK35" s="99"/>
      <c r="AL35" s="105" t="s">
        <v>132</v>
      </c>
      <c r="AM35" s="124"/>
      <c r="AN35" s="99"/>
    </row>
    <row r="36" spans="2:44" s="153" customFormat="1" ht="16.5" customHeight="1">
      <c r="B36" s="146" t="s">
        <v>184</v>
      </c>
      <c r="C36" s="147" t="s">
        <v>185</v>
      </c>
      <c r="D36" s="148">
        <f>D33-E34-E35</f>
        <v>2230654.6799999969</v>
      </c>
      <c r="E36" s="148">
        <v>0</v>
      </c>
      <c r="F36" s="120">
        <f>+D36/$D$10*100</f>
        <v>2.0460613381237813</v>
      </c>
      <c r="G36" s="148">
        <f>G33-H34-H35</f>
        <v>6967128</v>
      </c>
      <c r="H36" s="149" t="s">
        <v>137</v>
      </c>
      <c r="I36" s="135">
        <f>+G36/G10*100</f>
        <v>2.0492421217117807</v>
      </c>
      <c r="J36" s="106">
        <f>+G36/D36</f>
        <v>3.1233556957368274</v>
      </c>
      <c r="K36" s="150">
        <f>K33-L34-L35</f>
        <v>66801031</v>
      </c>
      <c r="L36" s="148" t="s">
        <v>137</v>
      </c>
      <c r="M36" s="148"/>
      <c r="N36" s="150">
        <f>N33-O34-O35</f>
        <v>84750663</v>
      </c>
      <c r="O36" s="148" t="s">
        <v>137</v>
      </c>
      <c r="P36" s="148"/>
      <c r="Q36" s="151">
        <f>Q33-R34-R35</f>
        <v>55000225</v>
      </c>
      <c r="R36" s="148">
        <f>R33</f>
        <v>0</v>
      </c>
      <c r="S36" s="148"/>
      <c r="T36" s="151">
        <f>T33-U34-U35</f>
        <v>4369741</v>
      </c>
      <c r="U36" s="148">
        <f>U33</f>
        <v>0</v>
      </c>
      <c r="V36" s="148"/>
      <c r="W36" s="151">
        <f>W33-X34-X35</f>
        <v>-9560904</v>
      </c>
      <c r="X36" s="148">
        <f>X33</f>
        <v>0</v>
      </c>
      <c r="Y36" s="148"/>
      <c r="Z36" s="151">
        <f>Z33-AA34-AA35</f>
        <v>568435</v>
      </c>
      <c r="AA36" s="148">
        <f>AA33</f>
        <v>0</v>
      </c>
      <c r="AB36" s="148"/>
      <c r="AC36" s="151">
        <f>AC33-AD34-AD35</f>
        <v>1019266</v>
      </c>
      <c r="AD36" s="148">
        <f>AD33</f>
        <v>0</v>
      </c>
      <c r="AE36" s="148"/>
      <c r="AF36" s="151">
        <f>AF33-AG34-AG35</f>
        <v>8367177</v>
      </c>
      <c r="AG36" s="148">
        <f>AG33</f>
        <v>0</v>
      </c>
      <c r="AH36" s="152"/>
      <c r="AI36" s="151">
        <f>AI33-AJ34-AJ35</f>
        <v>-7280</v>
      </c>
      <c r="AJ36" s="148">
        <f>AJ33</f>
        <v>0</v>
      </c>
      <c r="AK36" s="152"/>
      <c r="AL36" s="151">
        <f>AL33-AM34-AM35</f>
        <v>-9026546</v>
      </c>
      <c r="AM36" s="148">
        <f>AM33</f>
        <v>0</v>
      </c>
      <c r="AN36" s="152"/>
    </row>
    <row r="37" spans="2:44" ht="21.75" customHeight="1">
      <c r="B37" s="207" t="s">
        <v>186</v>
      </c>
      <c r="C37" s="207"/>
      <c r="D37" s="207"/>
      <c r="E37" s="207"/>
      <c r="F37" s="154"/>
      <c r="Q37" s="155"/>
      <c r="T37" s="155"/>
      <c r="W37" s="155"/>
      <c r="Z37" s="155"/>
      <c r="AC37" s="155"/>
      <c r="AF37" s="155"/>
      <c r="AI37" s="155"/>
      <c r="AL37" s="155"/>
    </row>
    <row r="38" spans="2:44" ht="4.5" customHeight="1">
      <c r="B38" s="208"/>
      <c r="C38" s="208"/>
      <c r="D38" s="208"/>
      <c r="E38" s="208"/>
      <c r="F38" s="156"/>
      <c r="G38" s="155"/>
      <c r="K38" s="155"/>
      <c r="N38" s="155"/>
      <c r="Q38" s="155"/>
      <c r="T38" s="155"/>
      <c r="W38" s="155"/>
      <c r="Z38" s="155"/>
      <c r="AC38" s="155"/>
      <c r="AF38" s="155"/>
      <c r="AI38" s="155"/>
      <c r="AL38" s="155"/>
    </row>
    <row r="39" spans="2:44" ht="22.5" customHeight="1">
      <c r="B39" s="209" t="s">
        <v>187</v>
      </c>
      <c r="C39" s="209"/>
      <c r="D39" s="209"/>
      <c r="E39" s="209"/>
      <c r="F39" s="154"/>
      <c r="M39" s="155"/>
    </row>
    <row r="40" spans="2:44" ht="5.25" customHeight="1">
      <c r="B40" s="204"/>
      <c r="C40" s="204"/>
      <c r="D40" s="204"/>
      <c r="E40" s="204"/>
      <c r="F40" s="157"/>
    </row>
    <row r="41" spans="2:44">
      <c r="H41" s="158"/>
    </row>
    <row r="42" spans="2:44">
      <c r="G42" s="155"/>
    </row>
    <row r="43" spans="2:44">
      <c r="H43" s="155"/>
      <c r="AI43" s="159">
        <v>147489713.09</v>
      </c>
      <c r="AL43" s="159">
        <v>767554874.66999996</v>
      </c>
    </row>
    <row r="44" spans="2:44">
      <c r="G44" s="155"/>
      <c r="H44" s="160"/>
      <c r="AI44" s="159">
        <v>84703937.25</v>
      </c>
      <c r="AL44" s="159">
        <v>40178571.420000002</v>
      </c>
    </row>
    <row r="45" spans="2:44" ht="13.5" thickBot="1">
      <c r="H45" s="155"/>
      <c r="R45" s="159">
        <v>817542.36</v>
      </c>
      <c r="U45" s="159">
        <v>1231952174.22</v>
      </c>
      <c r="Z45" s="159">
        <v>1480396629.0799999</v>
      </c>
      <c r="AI45" s="161">
        <f>+AI43+AI44</f>
        <v>232193650.34</v>
      </c>
      <c r="AL45" s="161">
        <f>+AL44+AL43</f>
        <v>807733446.08999991</v>
      </c>
    </row>
    <row r="46" spans="2:44" ht="14.25" thickBot="1">
      <c r="G46" s="162">
        <v>69324556</v>
      </c>
      <c r="H46" s="163"/>
      <c r="J46" s="164">
        <v>274641445.94999999</v>
      </c>
      <c r="K46" s="164">
        <v>3035233688.7600002</v>
      </c>
      <c r="L46" s="164">
        <v>71656785495.160004</v>
      </c>
      <c r="N46" s="159">
        <v>1813535112.1699998</v>
      </c>
      <c r="R46" s="159">
        <v>2796332291.5599999</v>
      </c>
      <c r="U46" s="159">
        <v>2382530035.9200001</v>
      </c>
      <c r="Z46" s="159">
        <v>6785043.3099999996</v>
      </c>
    </row>
    <row r="47" spans="2:44">
      <c r="G47" s="155">
        <f>+G46-G33</f>
        <v>61144956</v>
      </c>
      <c r="H47" s="165"/>
      <c r="J47" s="159">
        <v>28684.720000000001</v>
      </c>
      <c r="K47" s="159">
        <v>2661830376.1799998</v>
      </c>
      <c r="L47" s="159">
        <v>9040077693.1399994</v>
      </c>
      <c r="N47" s="159">
        <v>90814513.390000001</v>
      </c>
      <c r="R47" s="161">
        <f>+R46+R45</f>
        <v>2797149833.9200001</v>
      </c>
      <c r="U47" s="161">
        <f>+U46+U45</f>
        <v>3614482210.1400003</v>
      </c>
      <c r="Z47" s="159">
        <f>+Z46+Z45</f>
        <v>1487181672.3899999</v>
      </c>
    </row>
    <row r="48" spans="2:44">
      <c r="H48" s="166"/>
      <c r="J48" s="161">
        <f>+J46-J47</f>
        <v>274612761.22999996</v>
      </c>
      <c r="K48" s="161">
        <f>+K46-K47</f>
        <v>373403312.5800004</v>
      </c>
      <c r="L48" s="161">
        <f>+L46-L47</f>
        <v>62616707802.020004</v>
      </c>
      <c r="N48" s="161">
        <f>+N47+N46</f>
        <v>1904349625.5599999</v>
      </c>
    </row>
    <row r="49" spans="2:12">
      <c r="B49" s="167"/>
      <c r="H49" s="155"/>
      <c r="L49" s="164">
        <v>441538524.04000002</v>
      </c>
    </row>
    <row r="50" spans="2:12">
      <c r="B50" s="167"/>
      <c r="G50" s="155">
        <f>+G36/2</f>
        <v>3483564</v>
      </c>
    </row>
    <row r="51" spans="2:12">
      <c r="G51" s="155"/>
      <c r="K51" s="161">
        <f>+L49+L48+K48</f>
        <v>63431649638.640007</v>
      </c>
    </row>
    <row r="52" spans="2:12">
      <c r="G52" s="168"/>
      <c r="H52" s="168"/>
    </row>
    <row r="53" spans="2:12">
      <c r="G53" s="169"/>
    </row>
    <row r="54" spans="2:12">
      <c r="G54" s="168"/>
    </row>
    <row r="55" spans="2:12">
      <c r="G55" s="170"/>
      <c r="H55" s="155"/>
    </row>
    <row r="58" spans="2:12">
      <c r="G58" s="165"/>
      <c r="H58" s="168"/>
    </row>
    <row r="59" spans="2:12">
      <c r="G59" s="171"/>
      <c r="H59" s="171"/>
    </row>
    <row r="60" spans="2:12">
      <c r="G60" s="168"/>
      <c r="H60" s="168"/>
    </row>
    <row r="61" spans="2:12">
      <c r="G61" s="170"/>
      <c r="H61" s="170"/>
    </row>
  </sheetData>
  <mergeCells count="19">
    <mergeCell ref="B4:E4"/>
    <mergeCell ref="B7:B8"/>
    <mergeCell ref="C7:C8"/>
    <mergeCell ref="D7:E7"/>
    <mergeCell ref="G7:I7"/>
    <mergeCell ref="B40:E40"/>
    <mergeCell ref="AF7:AH7"/>
    <mergeCell ref="AI7:AK7"/>
    <mergeCell ref="AL7:AN7"/>
    <mergeCell ref="B37:E37"/>
    <mergeCell ref="B38:E38"/>
    <mergeCell ref="B39:E39"/>
    <mergeCell ref="N7:P7"/>
    <mergeCell ref="Q7:S7"/>
    <mergeCell ref="T7:V7"/>
    <mergeCell ref="W7:Y7"/>
    <mergeCell ref="Z7:AB7"/>
    <mergeCell ref="AC7:AE7"/>
    <mergeCell ref="K7:L7"/>
  </mergeCells>
  <pageMargins left="0.23622047244094491" right="0.19685039370078741" top="0.31496062992125984" bottom="0.23622047244094491" header="0.19685039370078741" footer="0.19685039370078741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B875-FAB9-45CA-8333-DC0120B69C45}">
  <dimension ref="A1:F120"/>
  <sheetViews>
    <sheetView topLeftCell="A49" workbookViewId="0">
      <selection activeCell="F78" sqref="F78"/>
    </sheetView>
  </sheetViews>
  <sheetFormatPr defaultColWidth="9.140625" defaultRowHeight="12.75"/>
  <cols>
    <col min="1" max="1" width="0.5703125" style="173" customWidth="1"/>
    <col min="2" max="2" width="61.28515625" style="193" customWidth="1"/>
    <col min="3" max="3" width="6" style="173" customWidth="1"/>
    <col min="4" max="5" width="16" style="173" bestFit="1" customWidth="1"/>
    <col min="6" max="16384" width="9.140625" style="173"/>
  </cols>
  <sheetData>
    <row r="1" spans="1:6">
      <c r="A1" s="172" t="s">
        <v>188</v>
      </c>
      <c r="B1" s="220"/>
      <c r="C1" s="220"/>
      <c r="D1" s="220"/>
      <c r="E1" s="220"/>
    </row>
    <row r="2" spans="1:6" ht="26.1" customHeight="1">
      <c r="B2" s="174" t="s">
        <v>189</v>
      </c>
      <c r="C2" s="221" t="s">
        <v>190</v>
      </c>
      <c r="D2" s="221"/>
      <c r="E2" s="221"/>
    </row>
    <row r="3" spans="1:6" ht="25.5">
      <c r="B3" s="175" t="s">
        <v>191</v>
      </c>
      <c r="C3" s="176" t="s">
        <v>192</v>
      </c>
      <c r="D3" s="176" t="s">
        <v>193</v>
      </c>
      <c r="E3" s="176" t="s">
        <v>194</v>
      </c>
    </row>
    <row r="4" spans="1:6">
      <c r="B4" s="177">
        <v>1</v>
      </c>
      <c r="C4" s="178">
        <v>2</v>
      </c>
      <c r="D4" s="178">
        <v>3</v>
      </c>
      <c r="E4" s="178">
        <v>4</v>
      </c>
    </row>
    <row r="5" spans="1:6">
      <c r="B5" s="175" t="s">
        <v>195</v>
      </c>
      <c r="C5" s="179" t="s">
        <v>196</v>
      </c>
      <c r="D5" s="180"/>
      <c r="E5" s="180"/>
    </row>
    <row r="6" spans="1:6">
      <c r="B6" s="175" t="s">
        <v>197</v>
      </c>
      <c r="C6" s="179" t="s">
        <v>196</v>
      </c>
      <c r="D6" s="180"/>
      <c r="E6" s="180"/>
    </row>
    <row r="7" spans="1:6">
      <c r="B7" s="175" t="s">
        <v>198</v>
      </c>
      <c r="C7" s="179" t="s">
        <v>196</v>
      </c>
      <c r="D7" s="180"/>
      <c r="E7" s="180"/>
    </row>
    <row r="8" spans="1:6">
      <c r="B8" s="181" t="s">
        <v>199</v>
      </c>
      <c r="C8" s="179" t="s">
        <v>131</v>
      </c>
      <c r="D8" s="182">
        <v>933479830</v>
      </c>
      <c r="E8" s="182">
        <v>955921097</v>
      </c>
    </row>
    <row r="9" spans="1:6">
      <c r="B9" s="181" t="s">
        <v>200</v>
      </c>
      <c r="C9" s="179" t="s">
        <v>201</v>
      </c>
      <c r="D9" s="182">
        <v>652134878</v>
      </c>
      <c r="E9" s="182">
        <v>678911156</v>
      </c>
      <c r="F9" s="196">
        <f>E9/E8</f>
        <v>0.71021673036681598</v>
      </c>
    </row>
    <row r="10" spans="1:6">
      <c r="B10" s="181" t="s">
        <v>202</v>
      </c>
      <c r="C10" s="179" t="s">
        <v>203</v>
      </c>
      <c r="D10" s="183">
        <v>281344952</v>
      </c>
      <c r="E10" s="183">
        <f>E8-E9</f>
        <v>277009941</v>
      </c>
    </row>
    <row r="11" spans="1:6">
      <c r="B11" s="181" t="s">
        <v>204</v>
      </c>
      <c r="C11" s="179" t="s">
        <v>196</v>
      </c>
      <c r="D11" s="184"/>
      <c r="E11" s="184"/>
    </row>
    <row r="12" spans="1:6">
      <c r="B12" s="181" t="s">
        <v>205</v>
      </c>
      <c r="C12" s="179" t="s">
        <v>134</v>
      </c>
      <c r="D12" s="182">
        <v>18588930</v>
      </c>
      <c r="E12" s="182">
        <v>18588930</v>
      </c>
    </row>
    <row r="13" spans="1:6">
      <c r="B13" s="181" t="s">
        <v>206</v>
      </c>
      <c r="C13" s="179" t="s">
        <v>207</v>
      </c>
      <c r="D13" s="182">
        <v>9947077</v>
      </c>
      <c r="E13" s="182">
        <v>10725604</v>
      </c>
    </row>
    <row r="14" spans="1:6">
      <c r="B14" s="181" t="s">
        <v>208</v>
      </c>
      <c r="C14" s="179" t="s">
        <v>209</v>
      </c>
      <c r="D14" s="183">
        <v>8641853</v>
      </c>
      <c r="E14" s="183">
        <f>E12-E13</f>
        <v>7863326</v>
      </c>
    </row>
    <row r="15" spans="1:6">
      <c r="B15" s="181" t="s">
        <v>210</v>
      </c>
      <c r="C15" s="185" t="s">
        <v>136</v>
      </c>
      <c r="D15" s="186">
        <v>4167</v>
      </c>
      <c r="E15" s="186">
        <f>E16+E17+E18+E19+E20</f>
        <v>204167</v>
      </c>
    </row>
    <row r="16" spans="1:6">
      <c r="B16" s="181" t="s">
        <v>211</v>
      </c>
      <c r="C16" s="179" t="s">
        <v>139</v>
      </c>
      <c r="D16" s="182">
        <v>4167</v>
      </c>
      <c r="E16" s="182">
        <v>4167</v>
      </c>
    </row>
    <row r="17" spans="2:5">
      <c r="B17" s="181" t="s">
        <v>212</v>
      </c>
      <c r="C17" s="179" t="s">
        <v>141</v>
      </c>
      <c r="D17" s="182"/>
      <c r="E17" s="182"/>
    </row>
    <row r="18" spans="2:5">
      <c r="B18" s="181" t="s">
        <v>213</v>
      </c>
      <c r="C18" s="179" t="s">
        <v>143</v>
      </c>
      <c r="D18" s="182"/>
      <c r="E18" s="182"/>
    </row>
    <row r="19" spans="2:5">
      <c r="B19" s="181" t="s">
        <v>214</v>
      </c>
      <c r="C19" s="179" t="s">
        <v>145</v>
      </c>
      <c r="D19" s="182"/>
      <c r="E19" s="182"/>
    </row>
    <row r="20" spans="2:5">
      <c r="B20" s="181" t="s">
        <v>215</v>
      </c>
      <c r="C20" s="179" t="s">
        <v>147</v>
      </c>
      <c r="D20" s="182"/>
      <c r="E20" s="182">
        <v>200000</v>
      </c>
    </row>
    <row r="21" spans="2:5">
      <c r="B21" s="181" t="s">
        <v>216</v>
      </c>
      <c r="C21" s="179" t="s">
        <v>149</v>
      </c>
      <c r="D21" s="182"/>
      <c r="E21" s="182"/>
    </row>
    <row r="22" spans="2:5">
      <c r="B22" s="181" t="s">
        <v>217</v>
      </c>
      <c r="C22" s="179" t="s">
        <v>151</v>
      </c>
      <c r="D22" s="182">
        <v>6656416</v>
      </c>
      <c r="E22" s="182">
        <v>17605694</v>
      </c>
    </row>
    <row r="23" spans="2:5">
      <c r="B23" s="181" t="s">
        <v>218</v>
      </c>
      <c r="C23" s="179" t="s">
        <v>153</v>
      </c>
      <c r="D23" s="182"/>
      <c r="E23" s="182"/>
    </row>
    <row r="24" spans="2:5">
      <c r="B24" s="181" t="s">
        <v>219</v>
      </c>
      <c r="C24" s="179" t="s">
        <v>155</v>
      </c>
      <c r="D24" s="182"/>
      <c r="E24" s="182"/>
    </row>
    <row r="25" spans="2:5">
      <c r="B25" s="181" t="s">
        <v>220</v>
      </c>
      <c r="C25" s="179" t="s">
        <v>157</v>
      </c>
      <c r="D25" s="183">
        <v>296647388</v>
      </c>
      <c r="E25" s="183">
        <f>E10+E14+E15+E22</f>
        <v>302683128</v>
      </c>
    </row>
    <row r="26" spans="2:5">
      <c r="B26" s="175" t="s">
        <v>221</v>
      </c>
      <c r="C26" s="179" t="s">
        <v>196</v>
      </c>
      <c r="D26" s="184"/>
      <c r="E26" s="184"/>
    </row>
    <row r="27" spans="2:5">
      <c r="B27" s="181" t="s">
        <v>222</v>
      </c>
      <c r="C27" s="179" t="s">
        <v>159</v>
      </c>
      <c r="D27" s="186">
        <v>309803229</v>
      </c>
      <c r="E27" s="186">
        <f>E28+E29+E30+E31</f>
        <v>285181488</v>
      </c>
    </row>
    <row r="28" spans="2:5">
      <c r="B28" s="181" t="s">
        <v>223</v>
      </c>
      <c r="C28" s="179" t="s">
        <v>161</v>
      </c>
      <c r="D28" s="182">
        <v>286719130</v>
      </c>
      <c r="E28" s="182">
        <v>284569965</v>
      </c>
    </row>
    <row r="29" spans="2:5">
      <c r="B29" s="181" t="s">
        <v>224</v>
      </c>
      <c r="C29" s="179" t="s">
        <v>163</v>
      </c>
      <c r="D29" s="182">
        <v>23065473</v>
      </c>
      <c r="E29" s="182">
        <v>539433</v>
      </c>
    </row>
    <row r="30" spans="2:5">
      <c r="B30" s="181" t="s">
        <v>225</v>
      </c>
      <c r="C30" s="179" t="s">
        <v>165</v>
      </c>
      <c r="D30" s="182">
        <v>18626</v>
      </c>
      <c r="E30" s="182">
        <v>72090</v>
      </c>
    </row>
    <row r="31" spans="2:5">
      <c r="B31" s="181" t="s">
        <v>226</v>
      </c>
      <c r="C31" s="179" t="s">
        <v>167</v>
      </c>
      <c r="D31" s="182"/>
      <c r="E31" s="182"/>
    </row>
    <row r="32" spans="2:5">
      <c r="B32" s="181" t="s">
        <v>227</v>
      </c>
      <c r="C32" s="179" t="s">
        <v>169</v>
      </c>
      <c r="D32" s="182">
        <v>431846</v>
      </c>
      <c r="E32" s="182">
        <v>275745</v>
      </c>
    </row>
    <row r="33" spans="2:6">
      <c r="B33" s="181" t="s">
        <v>228</v>
      </c>
      <c r="C33" s="179" t="s">
        <v>171</v>
      </c>
      <c r="D33" s="182"/>
      <c r="E33" s="182"/>
    </row>
    <row r="34" spans="2:6">
      <c r="B34" s="181" t="s">
        <v>229</v>
      </c>
      <c r="C34" s="179" t="s">
        <v>173</v>
      </c>
      <c r="D34" s="183">
        <v>376932570</v>
      </c>
      <c r="E34" s="183">
        <f>E36+E37+E39+E40+E41+E42+E44+E45</f>
        <v>469361102</v>
      </c>
      <c r="F34" s="196">
        <f>E34/D34</f>
        <v>1.2452123784368117</v>
      </c>
    </row>
    <row r="35" spans="2:6">
      <c r="B35" s="181" t="s">
        <v>230</v>
      </c>
      <c r="C35" s="179" t="s">
        <v>231</v>
      </c>
      <c r="D35" s="182"/>
      <c r="E35" s="182"/>
    </row>
    <row r="36" spans="2:6" ht="25.5">
      <c r="B36" s="181" t="s">
        <v>232</v>
      </c>
      <c r="C36" s="179" t="s">
        <v>175</v>
      </c>
      <c r="D36" s="182">
        <v>336611338</v>
      </c>
      <c r="E36" s="182">
        <v>355677001</v>
      </c>
    </row>
    <row r="37" spans="2:6">
      <c r="B37" s="181" t="s">
        <v>233</v>
      </c>
      <c r="C37" s="179" t="s">
        <v>177</v>
      </c>
      <c r="D37" s="182"/>
      <c r="E37" s="182"/>
    </row>
    <row r="38" spans="2:6">
      <c r="B38" s="181" t="s">
        <v>234</v>
      </c>
      <c r="C38" s="179" t="s">
        <v>179</v>
      </c>
      <c r="D38" s="182"/>
      <c r="E38" s="182"/>
    </row>
    <row r="39" spans="2:6">
      <c r="B39" s="181" t="s">
        <v>235</v>
      </c>
      <c r="C39" s="179" t="s">
        <v>181</v>
      </c>
      <c r="D39" s="182">
        <v>789082</v>
      </c>
      <c r="E39" s="182">
        <v>2199240</v>
      </c>
    </row>
    <row r="40" spans="2:6" ht="25.5">
      <c r="B40" s="181" t="s">
        <v>236</v>
      </c>
      <c r="C40" s="179" t="s">
        <v>183</v>
      </c>
      <c r="D40" s="182">
        <v>16900759</v>
      </c>
      <c r="E40" s="182">
        <v>92915192</v>
      </c>
    </row>
    <row r="41" spans="2:6" ht="25.5">
      <c r="B41" s="181" t="s">
        <v>237</v>
      </c>
      <c r="C41" s="179" t="s">
        <v>185</v>
      </c>
      <c r="D41" s="182">
        <v>2450695</v>
      </c>
      <c r="E41" s="182">
        <v>6241722</v>
      </c>
    </row>
    <row r="42" spans="2:6" ht="25.5">
      <c r="B42" s="181" t="s">
        <v>238</v>
      </c>
      <c r="C42" s="179" t="s">
        <v>239</v>
      </c>
      <c r="D42" s="187">
        <v>18</v>
      </c>
      <c r="E42" s="187"/>
    </row>
    <row r="43" spans="2:6">
      <c r="B43" s="181" t="s">
        <v>240</v>
      </c>
      <c r="C43" s="179" t="s">
        <v>241</v>
      </c>
      <c r="D43" s="182"/>
      <c r="E43" s="182"/>
    </row>
    <row r="44" spans="2:6">
      <c r="B44" s="181" t="s">
        <v>242</v>
      </c>
      <c r="C44" s="179" t="s">
        <v>243</v>
      </c>
      <c r="D44" s="182">
        <v>160388</v>
      </c>
      <c r="E44" s="182">
        <v>160388</v>
      </c>
    </row>
    <row r="45" spans="2:6">
      <c r="B45" s="181" t="s">
        <v>244</v>
      </c>
      <c r="C45" s="179" t="s">
        <v>245</v>
      </c>
      <c r="D45" s="182">
        <v>20020290</v>
      </c>
      <c r="E45" s="182">
        <v>12167559</v>
      </c>
    </row>
    <row r="46" spans="2:6">
      <c r="B46" s="181" t="s">
        <v>246</v>
      </c>
      <c r="C46" s="179" t="s">
        <v>247</v>
      </c>
      <c r="D46" s="183">
        <v>60159629</v>
      </c>
      <c r="E46" s="183">
        <f>E47+E48+E49+E50</f>
        <v>71152855</v>
      </c>
    </row>
    <row r="47" spans="2:6">
      <c r="B47" s="181" t="s">
        <v>248</v>
      </c>
      <c r="C47" s="179" t="s">
        <v>249</v>
      </c>
      <c r="D47" s="182"/>
      <c r="E47" s="182"/>
    </row>
    <row r="48" spans="2:6">
      <c r="B48" s="181" t="s">
        <v>250</v>
      </c>
      <c r="C48" s="179" t="s">
        <v>251</v>
      </c>
      <c r="D48" s="182">
        <v>53722083</v>
      </c>
      <c r="E48" s="182">
        <v>64641458</v>
      </c>
    </row>
    <row r="49" spans="2:5">
      <c r="B49" s="181" t="s">
        <v>252</v>
      </c>
      <c r="C49" s="179" t="s">
        <v>253</v>
      </c>
      <c r="D49" s="182">
        <v>6437546</v>
      </c>
      <c r="E49" s="182">
        <v>6511397</v>
      </c>
    </row>
    <row r="50" spans="2:5">
      <c r="B50" s="181" t="s">
        <v>254</v>
      </c>
      <c r="C50" s="179" t="s">
        <v>255</v>
      </c>
      <c r="D50" s="182"/>
      <c r="E50" s="182"/>
    </row>
    <row r="51" spans="2:5">
      <c r="B51" s="181" t="s">
        <v>256</v>
      </c>
      <c r="C51" s="179" t="s">
        <v>257</v>
      </c>
      <c r="D51" s="182">
        <v>7800000</v>
      </c>
      <c r="E51" s="182">
        <v>7609439</v>
      </c>
    </row>
    <row r="52" spans="2:5">
      <c r="B52" s="181" t="s">
        <v>258</v>
      </c>
      <c r="C52" s="179" t="s">
        <v>259</v>
      </c>
      <c r="D52" s="182"/>
      <c r="E52" s="182"/>
    </row>
    <row r="53" spans="2:5">
      <c r="B53" s="181" t="s">
        <v>260</v>
      </c>
      <c r="C53" s="179" t="s">
        <v>261</v>
      </c>
      <c r="D53" s="183">
        <v>755127274</v>
      </c>
      <c r="E53" s="183">
        <f>E27+E32+E34+E46+E51</f>
        <v>833580629</v>
      </c>
    </row>
    <row r="54" spans="2:5">
      <c r="B54" s="181" t="s">
        <v>262</v>
      </c>
      <c r="C54" s="179" t="s">
        <v>263</v>
      </c>
      <c r="D54" s="183">
        <v>1051774662</v>
      </c>
      <c r="E54" s="183">
        <f>E25+E53</f>
        <v>1136263757</v>
      </c>
    </row>
    <row r="55" spans="2:5">
      <c r="B55" s="188" t="s">
        <v>264</v>
      </c>
      <c r="C55" s="179" t="s">
        <v>196</v>
      </c>
      <c r="D55" s="184"/>
      <c r="E55" s="184"/>
    </row>
    <row r="56" spans="2:5">
      <c r="B56" s="188" t="s">
        <v>265</v>
      </c>
      <c r="C56" s="179" t="s">
        <v>196</v>
      </c>
      <c r="D56" s="184"/>
      <c r="E56" s="184"/>
    </row>
    <row r="57" spans="2:5">
      <c r="B57" s="181" t="s">
        <v>266</v>
      </c>
      <c r="C57" s="179" t="s">
        <v>267</v>
      </c>
      <c r="D57" s="182">
        <v>313655273</v>
      </c>
      <c r="E57" s="182">
        <v>313655273</v>
      </c>
    </row>
    <row r="58" spans="2:5">
      <c r="B58" s="181" t="s">
        <v>268</v>
      </c>
      <c r="C58" s="179" t="s">
        <v>269</v>
      </c>
      <c r="D58" s="182"/>
      <c r="E58" s="182"/>
    </row>
    <row r="59" spans="2:5">
      <c r="B59" s="181" t="s">
        <v>270</v>
      </c>
      <c r="C59" s="179" t="s">
        <v>271</v>
      </c>
      <c r="D59" s="182">
        <v>55118127</v>
      </c>
      <c r="E59" s="182">
        <v>55118127</v>
      </c>
    </row>
    <row r="60" spans="2:5">
      <c r="B60" s="181" t="s">
        <v>272</v>
      </c>
      <c r="C60" s="179" t="s">
        <v>273</v>
      </c>
      <c r="D60" s="182"/>
      <c r="E60" s="182"/>
    </row>
    <row r="61" spans="2:5">
      <c r="B61" s="181" t="s">
        <v>274</v>
      </c>
      <c r="C61" s="179" t="s">
        <v>275</v>
      </c>
      <c r="D61" s="182">
        <v>222428421</v>
      </c>
      <c r="E61" s="182">
        <v>229395549</v>
      </c>
    </row>
    <row r="62" spans="2:5">
      <c r="B62" s="181" t="s">
        <v>276</v>
      </c>
      <c r="C62" s="179" t="s">
        <v>277</v>
      </c>
      <c r="D62" s="182">
        <v>322649894</v>
      </c>
      <c r="E62" s="182">
        <v>322317507</v>
      </c>
    </row>
    <row r="63" spans="2:5">
      <c r="B63" s="181" t="s">
        <v>278</v>
      </c>
      <c r="C63" s="179" t="s">
        <v>279</v>
      </c>
      <c r="D63" s="182"/>
      <c r="E63" s="182"/>
    </row>
    <row r="64" spans="2:5">
      <c r="B64" s="181" t="s">
        <v>280</v>
      </c>
      <c r="C64" s="179" t="s">
        <v>281</v>
      </c>
      <c r="D64" s="183">
        <v>913851715</v>
      </c>
      <c r="E64" s="183">
        <f>E57+E59+E61+E62</f>
        <v>920486456</v>
      </c>
    </row>
    <row r="65" spans="2:6">
      <c r="B65" s="175" t="s">
        <v>282</v>
      </c>
      <c r="C65" s="179" t="s">
        <v>196</v>
      </c>
      <c r="D65" s="184"/>
      <c r="E65" s="184"/>
    </row>
    <row r="66" spans="2:6" ht="25.5">
      <c r="B66" s="181" t="s">
        <v>283</v>
      </c>
      <c r="C66" s="179" t="s">
        <v>284</v>
      </c>
      <c r="D66" s="186">
        <v>0</v>
      </c>
      <c r="E66" s="186">
        <f>E75</f>
        <v>67203756</v>
      </c>
    </row>
    <row r="67" spans="2:6" ht="25.5">
      <c r="B67" s="181" t="s">
        <v>285</v>
      </c>
      <c r="C67" s="179" t="s">
        <v>286</v>
      </c>
      <c r="D67" s="186">
        <v>0</v>
      </c>
      <c r="E67" s="186">
        <f>E68+E69+E70+E72+E74+E77</f>
        <v>0</v>
      </c>
    </row>
    <row r="68" spans="2:6" ht="25.5">
      <c r="B68" s="181" t="s">
        <v>287</v>
      </c>
      <c r="C68" s="179" t="s">
        <v>288</v>
      </c>
      <c r="D68" s="182"/>
      <c r="E68" s="182"/>
    </row>
    <row r="69" spans="2:6">
      <c r="B69" s="181" t="s">
        <v>289</v>
      </c>
      <c r="C69" s="179" t="s">
        <v>290</v>
      </c>
      <c r="D69" s="182"/>
      <c r="E69" s="182"/>
    </row>
    <row r="70" spans="2:6">
      <c r="B70" s="181" t="s">
        <v>291</v>
      </c>
      <c r="C70" s="179" t="s">
        <v>292</v>
      </c>
      <c r="D70" s="187"/>
      <c r="E70" s="187"/>
    </row>
    <row r="71" spans="2:6">
      <c r="B71" s="181" t="s">
        <v>293</v>
      </c>
      <c r="C71" s="179" t="s">
        <v>294</v>
      </c>
      <c r="D71" s="182"/>
      <c r="E71" s="182"/>
    </row>
    <row r="72" spans="2:6" ht="25.5">
      <c r="B72" s="181" t="s">
        <v>295</v>
      </c>
      <c r="C72" s="179" t="s">
        <v>296</v>
      </c>
      <c r="D72" s="187"/>
      <c r="E72" s="187"/>
    </row>
    <row r="73" spans="2:6">
      <c r="B73" s="181" t="s">
        <v>297</v>
      </c>
      <c r="C73" s="179" t="s">
        <v>298</v>
      </c>
      <c r="D73" s="182"/>
      <c r="E73" s="182"/>
    </row>
    <row r="74" spans="2:6">
      <c r="B74" s="181" t="s">
        <v>299</v>
      </c>
      <c r="C74" s="179" t="s">
        <v>300</v>
      </c>
      <c r="D74" s="182"/>
      <c r="E74" s="182"/>
    </row>
    <row r="75" spans="2:6">
      <c r="B75" s="181" t="s">
        <v>301</v>
      </c>
      <c r="C75" s="179" t="s">
        <v>302</v>
      </c>
      <c r="D75" s="182"/>
      <c r="E75" s="182">
        <v>67203756</v>
      </c>
    </row>
    <row r="76" spans="2:6">
      <c r="B76" s="181" t="s">
        <v>303</v>
      </c>
      <c r="C76" s="179" t="s">
        <v>304</v>
      </c>
      <c r="D76" s="182"/>
      <c r="E76" s="182"/>
    </row>
    <row r="77" spans="2:6">
      <c r="B77" s="181" t="s">
        <v>305</v>
      </c>
      <c r="C77" s="179" t="s">
        <v>306</v>
      </c>
      <c r="D77" s="182"/>
      <c r="E77" s="182"/>
    </row>
    <row r="78" spans="2:6" ht="38.25">
      <c r="B78" s="181" t="s">
        <v>307</v>
      </c>
      <c r="C78" s="179" t="s">
        <v>308</v>
      </c>
      <c r="D78" s="186">
        <v>137922947</v>
      </c>
      <c r="E78" s="186">
        <f>E79</f>
        <v>148573545</v>
      </c>
      <c r="F78" s="196">
        <f>E78/D78</f>
        <v>1.077221363316722</v>
      </c>
    </row>
    <row r="79" spans="2:6" ht="25.5">
      <c r="B79" s="181" t="s">
        <v>309</v>
      </c>
      <c r="C79" s="179" t="s">
        <v>310</v>
      </c>
      <c r="D79" s="186">
        <v>137922947</v>
      </c>
      <c r="E79" s="186">
        <f>E81+E82+E83+E87+E88+E90+E92+E96</f>
        <v>148573545</v>
      </c>
    </row>
    <row r="80" spans="2:6">
      <c r="B80" s="181" t="s">
        <v>311</v>
      </c>
      <c r="C80" s="179" t="s">
        <v>312</v>
      </c>
      <c r="D80" s="182"/>
      <c r="E80" s="182"/>
    </row>
    <row r="81" spans="2:5">
      <c r="B81" s="181" t="s">
        <v>313</v>
      </c>
      <c r="C81" s="179" t="s">
        <v>314</v>
      </c>
      <c r="D81" s="182">
        <v>58717526</v>
      </c>
      <c r="E81" s="182">
        <v>58762958</v>
      </c>
    </row>
    <row r="82" spans="2:5">
      <c r="B82" s="181" t="s">
        <v>315</v>
      </c>
      <c r="C82" s="179" t="s">
        <v>316</v>
      </c>
      <c r="D82" s="182"/>
      <c r="E82" s="182"/>
    </row>
    <row r="83" spans="2:5">
      <c r="B83" s="181" t="s">
        <v>317</v>
      </c>
      <c r="C83" s="179" t="s">
        <v>318</v>
      </c>
      <c r="D83" s="187">
        <v>9597020</v>
      </c>
      <c r="E83" s="187">
        <v>11734909</v>
      </c>
    </row>
    <row r="84" spans="2:5">
      <c r="B84" s="181" t="s">
        <v>319</v>
      </c>
      <c r="C84" s="179" t="s">
        <v>320</v>
      </c>
      <c r="D84" s="182"/>
      <c r="E84" s="182"/>
    </row>
    <row r="85" spans="2:5" ht="25.5">
      <c r="B85" s="181" t="s">
        <v>321</v>
      </c>
      <c r="C85" s="179" t="s">
        <v>322</v>
      </c>
      <c r="D85" s="182"/>
      <c r="E85" s="182"/>
    </row>
    <row r="86" spans="2:5">
      <c r="B86" s="181" t="s">
        <v>323</v>
      </c>
      <c r="C86" s="179" t="s">
        <v>324</v>
      </c>
      <c r="D86" s="182"/>
      <c r="E86" s="182"/>
    </row>
    <row r="87" spans="2:5">
      <c r="B87" s="181" t="s">
        <v>325</v>
      </c>
      <c r="C87" s="179" t="s">
        <v>326</v>
      </c>
      <c r="D87" s="182">
        <v>6090252</v>
      </c>
      <c r="E87" s="182">
        <v>5819581</v>
      </c>
    </row>
    <row r="88" spans="2:5">
      <c r="B88" s="181" t="s">
        <v>327</v>
      </c>
      <c r="C88" s="179" t="s">
        <v>328</v>
      </c>
      <c r="D88" s="182">
        <v>27192204</v>
      </c>
      <c r="E88" s="182">
        <v>32360511</v>
      </c>
    </row>
    <row r="89" spans="2:5">
      <c r="B89" s="181" t="s">
        <v>329</v>
      </c>
      <c r="C89" s="179" t="s">
        <v>330</v>
      </c>
      <c r="D89" s="182"/>
      <c r="E89" s="182"/>
    </row>
    <row r="90" spans="2:5">
      <c r="B90" s="181" t="s">
        <v>331</v>
      </c>
      <c r="C90" s="179" t="s">
        <v>332</v>
      </c>
      <c r="D90" s="182">
        <v>4952979</v>
      </c>
      <c r="E90" s="182">
        <v>4060312</v>
      </c>
    </row>
    <row r="91" spans="2:5">
      <c r="B91" s="181" t="s">
        <v>333</v>
      </c>
      <c r="C91" s="179" t="s">
        <v>334</v>
      </c>
      <c r="D91" s="182"/>
      <c r="E91" s="182"/>
    </row>
    <row r="92" spans="2:5">
      <c r="B92" s="181" t="s">
        <v>335</v>
      </c>
      <c r="C92" s="179" t="s">
        <v>336</v>
      </c>
      <c r="D92" s="182">
        <v>29949034</v>
      </c>
      <c r="E92" s="182">
        <v>34148281</v>
      </c>
    </row>
    <row r="93" spans="2:5">
      <c r="B93" s="181" t="s">
        <v>337</v>
      </c>
      <c r="C93" s="179" t="s">
        <v>338</v>
      </c>
      <c r="D93" s="182"/>
      <c r="E93" s="182"/>
    </row>
    <row r="94" spans="2:5">
      <c r="B94" s="181" t="s">
        <v>339</v>
      </c>
      <c r="C94" s="179" t="s">
        <v>340</v>
      </c>
      <c r="D94" s="182"/>
      <c r="E94" s="182"/>
    </row>
    <row r="95" spans="2:5">
      <c r="B95" s="181" t="s">
        <v>341</v>
      </c>
      <c r="C95" s="179" t="s">
        <v>342</v>
      </c>
      <c r="D95" s="182"/>
      <c r="E95" s="182"/>
    </row>
    <row r="96" spans="2:5">
      <c r="B96" s="181" t="s">
        <v>343</v>
      </c>
      <c r="C96" s="179" t="s">
        <v>344</v>
      </c>
      <c r="D96" s="182">
        <v>1423932</v>
      </c>
      <c r="E96" s="182">
        <v>1686993</v>
      </c>
    </row>
    <row r="97" spans="2:5">
      <c r="B97" s="181" t="s">
        <v>345</v>
      </c>
      <c r="C97" s="179" t="s">
        <v>346</v>
      </c>
      <c r="D97" s="183">
        <v>137922947</v>
      </c>
      <c r="E97" s="183">
        <f>E78+E66</f>
        <v>215777301</v>
      </c>
    </row>
    <row r="98" spans="2:5">
      <c r="B98" s="181" t="s">
        <v>347</v>
      </c>
      <c r="C98" s="179" t="s">
        <v>348</v>
      </c>
      <c r="D98" s="183">
        <v>1051774662</v>
      </c>
      <c r="E98" s="183">
        <f>E64+E97</f>
        <v>1136263757</v>
      </c>
    </row>
    <row r="99" spans="2:5">
      <c r="B99" s="189"/>
      <c r="C99" s="190"/>
      <c r="E99" s="191">
        <f>+E98-E54</f>
        <v>0</v>
      </c>
    </row>
    <row r="100" spans="2:5">
      <c r="B100" s="192"/>
      <c r="C100" s="190"/>
    </row>
    <row r="101" spans="2:5">
      <c r="B101" s="192"/>
      <c r="C101" s="190"/>
    </row>
    <row r="102" spans="2:5">
      <c r="B102" s="192"/>
      <c r="C102" s="190"/>
    </row>
    <row r="103" spans="2:5">
      <c r="B103" s="192"/>
      <c r="C103" s="190"/>
    </row>
    <row r="104" spans="2:5">
      <c r="B104" s="192"/>
      <c r="C104" s="190"/>
    </row>
    <row r="105" spans="2:5">
      <c r="B105" s="192"/>
      <c r="C105" s="190"/>
    </row>
    <row r="106" spans="2:5">
      <c r="B106" s="192"/>
      <c r="C106" s="190"/>
    </row>
    <row r="107" spans="2:5">
      <c r="B107" s="192"/>
      <c r="C107" s="190"/>
    </row>
    <row r="108" spans="2:5">
      <c r="B108" s="192"/>
      <c r="C108" s="190"/>
    </row>
    <row r="109" spans="2:5">
      <c r="B109" s="192"/>
      <c r="C109" s="190"/>
    </row>
    <row r="110" spans="2:5">
      <c r="B110" s="192"/>
      <c r="C110" s="190"/>
    </row>
    <row r="111" spans="2:5">
      <c r="C111" s="190"/>
    </row>
    <row r="112" spans="2:5">
      <c r="C112" s="190"/>
    </row>
    <row r="113" spans="3:3">
      <c r="C113" s="190"/>
    </row>
    <row r="114" spans="3:3">
      <c r="C114" s="190"/>
    </row>
    <row r="115" spans="3:3">
      <c r="C115" s="190"/>
    </row>
    <row r="116" spans="3:3">
      <c r="C116" s="190"/>
    </row>
    <row r="117" spans="3:3">
      <c r="C117" s="190"/>
    </row>
    <row r="118" spans="3:3">
      <c r="C118" s="190"/>
    </row>
    <row r="119" spans="3:3">
      <c r="C119" s="190"/>
    </row>
    <row r="120" spans="3:3">
      <c r="C120" s="190"/>
    </row>
  </sheetData>
  <mergeCells count="2">
    <mergeCell ref="B1:E1"/>
    <mergeCell ref="C2:E2"/>
  </mergeCells>
  <printOptions horizontalCentered="1"/>
  <pageMargins left="0.19685039370078741" right="0.19685039370078741" top="0.43" bottom="0.19685039370078741" header="0.19685039370078741" footer="0.1968503937007874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ТЭП таб.1</vt:lpstr>
      <vt:lpstr>СМК (2024)</vt:lpstr>
      <vt:lpstr>ф-2(1кв.2025)</vt:lpstr>
      <vt:lpstr>ф-1(1кв.2025)</vt:lpstr>
      <vt:lpstr>'ТЭП таб.1'!Заголовки_для_печати</vt:lpstr>
      <vt:lpstr>'ф-2(1кв.2025)'!Область_печати</vt:lpstr>
    </vt:vector>
  </TitlesOfParts>
  <Company>Uzgeo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Эргашев Навруз Рахматович</dc:creator>
  <cp:lastModifiedBy>Эргашев Навруз Рахматович</cp:lastModifiedBy>
  <cp:lastPrinted>2025-03-20T09:30:22Z</cp:lastPrinted>
  <dcterms:created xsi:type="dcterms:W3CDTF">2023-10-26T07:11:38Z</dcterms:created>
  <dcterms:modified xsi:type="dcterms:W3CDTF">2025-04-29T05:03:43Z</dcterms:modified>
</cp:coreProperties>
</file>